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C_1" sheetId="1" state="visible" r:id="rId1"/>
    <sheet name="SPLC_2" sheetId="2" state="visible" r:id="rId2"/>
    <sheet name="SPLC_3" sheetId="3" state="visible" r:id="rId3"/>
    <sheet name="SPLC_4" sheetId="4" state="visible" r:id="rId4"/>
    <sheet name="SPLC_5" sheetId="5" state="visible" r:id="rId5"/>
    <sheet name="SPLC_6" sheetId="6" state="visible" r:id="rId6"/>
    <sheet name="SPLC_7" sheetId="7" state="visible" r:id="rId7"/>
    <sheet name="SPLC_8" sheetId="8" state="visible" r:id="rId8"/>
    <sheet name="SPLC_9" sheetId="9" state="visible" r:id="rId9"/>
    <sheet name="SPLC_10" sheetId="10" state="visible" r:id="rId10"/>
    <sheet name="SPLC_11" sheetId="11" state="visible" r:id="rId11"/>
    <sheet name="SPLC_12" sheetId="12" state="visible" r:id="rId12"/>
    <sheet name="SPLC_13" sheetId="13" state="visible" r:id="rId13"/>
    <sheet name="SPLC_14" sheetId="14" state="visible" r:id="rId14"/>
    <sheet name="SPLC_15" sheetId="15" state="visible" r:id="rId15"/>
    <sheet name="SPLC_16" sheetId="16" state="visible" r:id="rId16"/>
    <sheet name="SPLC_17" sheetId="17" state="visible" r:id="rId17"/>
    <sheet name="SPLC_18" sheetId="18" state="visible" r:id="rId18"/>
    <sheet name="SPLC_19" sheetId="19" state="visible" r:id="rId19"/>
    <sheet name="SPLC_20" sheetId="20" state="visible" r:id="rId20"/>
    <sheet name="SPLC_21" sheetId="21" state="visible" r:id="rId21"/>
    <sheet name="SPLC_22" sheetId="22" state="visible" r:id="rId22"/>
    <sheet name="SPLC_23" sheetId="23" state="visible" r:id="rId23"/>
    <sheet name="SPLC_24" sheetId="24" state="visible" r:id="rId24"/>
    <sheet name="SPLC_25" sheetId="25" state="visible" r:id="rId25"/>
    <sheet name="SPLC_26" sheetId="26" state="visible" r:id="rId26"/>
    <sheet name="SPLC_27" sheetId="27" state="visible" r:id="rId27"/>
    <sheet name="SPLC_28" sheetId="28" state="visible" r:id="rId28"/>
    <sheet name="SPLC_29" sheetId="29" state="visible" r:id="rId29"/>
    <sheet name="SPLC_30" sheetId="30" state="visible" r:id="rId30"/>
    <sheet name="SPLC_31" sheetId="31" state="visible" r:id="rId31"/>
    <sheet name="SPLC_32" sheetId="32" state="visible" r:id="rId32"/>
    <sheet name="SPLC_33" sheetId="33" state="visible" r:id="rId33"/>
    <sheet name="SPLC_34" sheetId="34" state="visible" r:id="rId34"/>
    <sheet name="SPLC_35" sheetId="35" state="visible" r:id="rId35"/>
    <sheet name="SPLC_36" sheetId="36" state="visible" r:id="rId36"/>
    <sheet name="SPLC_37" sheetId="37" state="visible" r:id="rId37"/>
    <sheet name="SPLC_38" sheetId="38" state="visible" r:id="rId38"/>
    <sheet name="SPLC_39" sheetId="39" state="visible" r:id="rId39"/>
    <sheet name="SPLC_40" sheetId="40" state="visible" r:id="rId40"/>
    <sheet name="SPLC_41" sheetId="41" state="visible" r:id="rId41"/>
    <sheet name="SPLC_42" sheetId="42" state="visible" r:id="rId42"/>
    <sheet name="SPLC_43" sheetId="43" state="visible" r:id="rId43"/>
    <sheet name="SPLC_44" sheetId="44" state="visible" r:id="rId44"/>
    <sheet name="SPLC_45" sheetId="45" state="visible" r:id="rId45"/>
    <sheet name="SPLC_46" sheetId="46" state="visible" r:id="rId46"/>
    <sheet name="SPLC_47" sheetId="47" state="visible" r:id="rId47"/>
    <sheet name="SPLC_48" sheetId="48" state="visible" r:id="rId48"/>
    <sheet name="SPLC_49" sheetId="49" state="visible" r:id="rId49"/>
    <sheet name="SPLC_50" sheetId="50" state="visible" r:id="rId50"/>
    <sheet name="SPLC_51" sheetId="51" state="visible" r:id="rId51"/>
    <sheet name="SPLC_52" sheetId="52" state="visible" r:id="rId52"/>
    <sheet name="SPLC_53" sheetId="53" state="visible" r:id="rId53"/>
    <sheet name="SPLC_54" sheetId="54" state="visible" r:id="rId54"/>
    <sheet name="SPLC_55" sheetId="55" state="visible" r:id="rId55"/>
    <sheet name="SPLC_56" sheetId="56" state="visible" r:id="rId56"/>
    <sheet name="SPLC_57" sheetId="57" state="visible" r:id="rId57"/>
    <sheet name="SPLC_58" sheetId="58" state="visible" r:id="rId58"/>
    <sheet name="SPLC_59" sheetId="59" state="visible" r:id="rId59"/>
    <sheet name="SPLC_60" sheetId="60" state="visible" r:id="rId60"/>
    <sheet name="SPLC_61" sheetId="61" state="visible" r:id="rId61"/>
    <sheet name="SPLC_62" sheetId="62" state="visible" r:id="rId62"/>
    <sheet name="SPLC_63" sheetId="63" state="visible" r:id="rId63"/>
    <sheet name="SPLC_64" sheetId="64" state="visible" r:id="rId64"/>
    <sheet name="SPLC_65" sheetId="65" state="visible" r:id="rId65"/>
    <sheet name="SPLC_66" sheetId="66" state="visible" r:id="rId66"/>
    <sheet name="SPLC_67" sheetId="67" state="visible" r:id="rId67"/>
    <sheet name="SPLC_68" sheetId="68" state="visible" r:id="rId68"/>
    <sheet name="SPLC_69" sheetId="69" state="visible" r:id="rId69"/>
    <sheet name="SPLC_70" sheetId="70" state="visible" r:id="rId70"/>
    <sheet name="SPLC_71" sheetId="71" state="visible" r:id="rId71"/>
    <sheet name="SPLC_72" sheetId="72" state="visible" r:id="rId72"/>
    <sheet name="SPLC_73" sheetId="73" state="visible" r:id="rId73"/>
    <sheet name="SPLC_74" sheetId="74" state="visible" r:id="rId74"/>
    <sheet name="SPLC_75" sheetId="75" state="visible" r:id="rId75"/>
    <sheet name="SPLC_76" sheetId="76" state="visible" r:id="rId76"/>
    <sheet name="SPLC_77" sheetId="77" state="visible" r:id="rId77"/>
    <sheet name="SPLC_78" sheetId="78" state="visible" r:id="rId78"/>
    <sheet name="SPLC_79" sheetId="79" state="visible" r:id="rId79"/>
    <sheet name="SPLC_80" sheetId="80" state="visible" r:id="rId80"/>
    <sheet name="SPLC_81" sheetId="81" state="visible" r:id="rId81"/>
    <sheet name="SPLC_82" sheetId="82" state="visible" r:id="rId82"/>
    <sheet name="SPLC_83" sheetId="83" state="visible" r:id="rId83"/>
    <sheet name="SPLC_84" sheetId="84" state="visible" r:id="rId84"/>
    <sheet name="SPLC_85" sheetId="85" state="visible" r:id="rId85"/>
    <sheet name="SPLC_86" sheetId="86" state="visible" r:id="rId86"/>
    <sheet name="SPLC_87" sheetId="87" state="visible" r:id="rId87"/>
    <sheet name="SPLC_88" sheetId="88" state="visible" r:id="rId88"/>
    <sheet name="SPLC_89" sheetId="89" state="visible" r:id="rId89"/>
    <sheet name="SPLC_90" sheetId="90" state="visible" r:id="rId90"/>
    <sheet name="SPLC_91" sheetId="91" state="visible" r:id="rId91"/>
    <sheet name="SPLC_92" sheetId="92" state="visible" r:id="rId92"/>
    <sheet name="SPLC_93" sheetId="93" state="visible" r:id="rId93"/>
    <sheet name="SPLC_94" sheetId="94" state="visible" r:id="rId94"/>
    <sheet name="SPLC_95" sheetId="95" state="visible" r:id="rId95"/>
    <sheet name="SPLC_96" sheetId="96" state="visible" r:id="rId96"/>
    <sheet name="SPLC_97" sheetId="97" state="visible" r:id="rId97"/>
    <sheet name="SPLC_98" sheetId="98" state="visible" r:id="rId98"/>
    <sheet name="SPLC_99" sheetId="99" state="visible" r:id="rId99"/>
    <sheet name="SPLC_100" sheetId="100" state="visible" r:id="rId100"/>
    <sheet name="SPLC_101" sheetId="101" state="visible" r:id="rId101"/>
    <sheet name="SPLC_102" sheetId="102" state="visible" r:id="rId102"/>
    <sheet name="SPLC_103" sheetId="103" state="visible" r:id="rId103"/>
    <sheet name="SPLC_104" sheetId="104" state="visible" r:id="rId104"/>
    <sheet name="SPLC_105" sheetId="105" state="visible" r:id="rId105"/>
    <sheet name="SPLC_106" sheetId="106" state="visible" r:id="rId106"/>
    <sheet name="SPLC_107" sheetId="107" state="visible" r:id="rId107"/>
    <sheet name="SPLC_108" sheetId="108" state="visible" r:id="rId108"/>
    <sheet name="SPLC_109" sheetId="109" state="visible" r:id="rId109"/>
    <sheet name="SPLC_110" sheetId="110" state="visible" r:id="rId110"/>
    <sheet name="SPLC_111" sheetId="111" state="visible" r:id="rId111"/>
    <sheet name="SPLC_112" sheetId="112" state="visible" r:id="rId112"/>
    <sheet name="SPLC_113" sheetId="113" state="visible" r:id="rId113"/>
    <sheet name="SPLC_114" sheetId="114" state="visible" r:id="rId114"/>
    <sheet name="SPLC_115" sheetId="115" state="visible" r:id="rId115"/>
    <sheet name="SPLC_116" sheetId="116" state="visible" r:id="rId116"/>
    <sheet name="SPLC_117" sheetId="117" state="visible" r:id="rId117"/>
    <sheet name="SPLC_118" sheetId="118" state="visible" r:id="rId118"/>
    <sheet name="SPLC_119" sheetId="119" state="visible" r:id="rId119"/>
    <sheet name="SPLC_120" sheetId="120" state="visible" r:id="rId120"/>
    <sheet name="SPLC_121" sheetId="121" state="visible" r:id="rId121"/>
    <sheet name="SPLC_122" sheetId="122" state="visible" r:id="rId122"/>
    <sheet name="SPLC_123" sheetId="123" state="visible" r:id="rId123"/>
    <sheet name="SPLC_124" sheetId="124" state="visible" r:id="rId124"/>
    <sheet name="SPLC_125" sheetId="125" state="visible" r:id="rId125"/>
    <sheet name="SPLC_126" sheetId="126" state="visible" r:id="rId126"/>
    <sheet name="SPLC_127" sheetId="127" state="visible" r:id="rId127"/>
    <sheet name="SPLC_128" sheetId="128" state="visible" r:id="rId128"/>
    <sheet name="SPLC_129" sheetId="129" state="visible" r:id="rId129"/>
    <sheet name="SPLC_130" sheetId="130" state="visible" r:id="rId130"/>
    <sheet name="SPLC_131" sheetId="131" state="visible" r:id="rId131"/>
    <sheet name="SPLC_132" sheetId="132" state="visible" r:id="rId132"/>
    <sheet name="SPLC_133" sheetId="133" state="visible" r:id="rId133"/>
    <sheet name="SPLC_134" sheetId="134" state="visible" r:id="rId134"/>
    <sheet name="SPLC_135" sheetId="135" state="visible" r:id="rId135"/>
    <sheet name="SPLC_136" sheetId="136" state="visible" r:id="rId136"/>
    <sheet name="SPLC_137" sheetId="137" state="visible" r:id="rId137"/>
    <sheet name="SPLC_138" sheetId="138" state="visible" r:id="rId138"/>
    <sheet name="SPLC_139" sheetId="139" state="visible" r:id="rId139"/>
    <sheet name="SPLC_140" sheetId="140" state="visible" r:id="rId140"/>
    <sheet name="SPLC_141" sheetId="141" state="visible" r:id="rId141"/>
    <sheet name="SPLC_142" sheetId="142" state="visible" r:id="rId142"/>
    <sheet name="SPLC_143" sheetId="143" state="visible" r:id="rId143"/>
    <sheet name="SPLC_144" sheetId="144" state="visible" r:id="rId144"/>
    <sheet name="SPLC_145" sheetId="145" state="visible" r:id="rId145"/>
    <sheet name="SPLC_146" sheetId="146" state="visible" r:id="rId146"/>
    <sheet name="SPLC_147" sheetId="147" state="visible" r:id="rId147"/>
    <sheet name="SPLC_148" sheetId="148" state="visible" r:id="rId148"/>
    <sheet name="SPLC_149" sheetId="149" state="visible" r:id="rId149"/>
    <sheet name="SPLC_150" sheetId="150" state="visible" r:id="rId150"/>
    <sheet name="SPLC_151" sheetId="151" state="visible" r:id="rId151"/>
    <sheet name="SPLC_152" sheetId="152" state="visible" r:id="rId152"/>
    <sheet name="SPLC_153" sheetId="153" state="visible" r:id="rId153"/>
    <sheet name="SPLC_154" sheetId="154" state="visible" r:id="rId154"/>
    <sheet name="SPLC_155" sheetId="155" state="visible" r:id="rId155"/>
    <sheet name="SPLC_156" sheetId="156" state="visible" r:id="rId156"/>
    <sheet name="SPLC_157" sheetId="157" state="visible" r:id="rId157"/>
    <sheet name="SPLC_158" sheetId="158" state="visible" r:id="rId158"/>
    <sheet name="SPLC_159" sheetId="159" state="visible" r:id="rId159"/>
    <sheet name="SPLC_160" sheetId="160" state="visible" r:id="rId160"/>
    <sheet name="SPLC_161" sheetId="161" state="visible" r:id="rId161"/>
    <sheet name="SPLC_162" sheetId="162" state="visible" r:id="rId162"/>
    <sheet name="SPLC_163" sheetId="163" state="visible" r:id="rId163"/>
    <sheet name="SPLC_164" sheetId="164" state="visible" r:id="rId164"/>
    <sheet name="SPLC_165" sheetId="165" state="visible" r:id="rId165"/>
    <sheet name="SPLC_166" sheetId="166" state="visible" r:id="rId166"/>
    <sheet name="SPLC_167" sheetId="167" state="visible" r:id="rId167"/>
    <sheet name="SPLC_168" sheetId="168" state="visible" r:id="rId168"/>
    <sheet name="SPLC_169" sheetId="169" state="visible" r:id="rId169"/>
    <sheet name="SPLC_170" sheetId="170" state="visible" r:id="rId170"/>
    <sheet name="SPLC_171" sheetId="171" state="visible" r:id="rId171"/>
    <sheet name="SPLC_172" sheetId="172" state="visible" r:id="rId172"/>
    <sheet name="SPLC_173" sheetId="173" state="visible" r:id="rId173"/>
    <sheet name="SPLC_174" sheetId="174" state="visible" r:id="rId174"/>
    <sheet name="SPLC_175" sheetId="175" state="visible" r:id="rId175"/>
    <sheet name="SPLC_176" sheetId="176" state="visible" r:id="rId176"/>
    <sheet name="SPLC_177" sheetId="177" state="visible" r:id="rId177"/>
    <sheet name="SPLC_178" sheetId="178" state="visible" r:id="rId178"/>
    <sheet name="SPLC_179" sheetId="179" state="visible" r:id="rId179"/>
    <sheet name="SPLC_180" sheetId="180" state="visible" r:id="rId180"/>
    <sheet name="SPLC_181" sheetId="181" state="visible" r:id="rId181"/>
    <sheet name="SPLC_182" sheetId="182" state="visible" r:id="rId182"/>
    <sheet name="SPLC_183" sheetId="183" state="visible" r:id="rId183"/>
    <sheet name="SPLC_184" sheetId="184" state="visible" r:id="rId184"/>
    <sheet name="SPLC_185" sheetId="185" state="visible" r:id="rId185"/>
    <sheet name="SPLC_186" sheetId="186" state="visible" r:id="rId186"/>
    <sheet name="SPLC_187" sheetId="187" state="visible" r:id="rId187"/>
    <sheet name="SPLC_188" sheetId="188" state="visible" r:id="rId188"/>
    <sheet name="SPLC_189" sheetId="189" state="visible" r:id="rId189"/>
    <sheet name="SPLC_190" sheetId="190" state="visible" r:id="rId190"/>
    <sheet name="SPLC_191" sheetId="191" state="visible" r:id="rId191"/>
    <sheet name="SPLC_192" sheetId="192" state="visible" r:id="rId192"/>
    <sheet name="SPLC_193" sheetId="193" state="visible" r:id="rId193"/>
    <sheet name="SPLC_194" sheetId="194" state="visible" r:id="rId194"/>
    <sheet name="SPLC_195" sheetId="195" state="visible" r:id="rId195"/>
    <sheet name="SPLC_196" sheetId="196" state="visible" r:id="rId196"/>
    <sheet name="SPLC_197" sheetId="197" state="visible" r:id="rId197"/>
    <sheet name="SPLC_198" sheetId="198" state="visible" r:id="rId198"/>
    <sheet name="SPLC_199" sheetId="199" state="visible" r:id="rId199"/>
    <sheet name="SPLC_200" sheetId="200" state="visible" r:id="rId200"/>
    <sheet name="SPLC_201" sheetId="201" state="visible" r:id="rId201"/>
    <sheet name="SPLC_202" sheetId="202" state="visible" r:id="rId202"/>
    <sheet name="SPLC_203" sheetId="203" state="visible" r:id="rId203"/>
    <sheet name="SPLC_204" sheetId="204" state="visible" r:id="rId204"/>
    <sheet name="SPLC_205" sheetId="205" state="visible" r:id="rId205"/>
    <sheet name="SPLC_206" sheetId="206" state="visible" r:id="rId206"/>
    <sheet name="SPLC_207" sheetId="207" state="visible" r:id="rId207"/>
    <sheet name="SPLC_208" sheetId="208" state="visible" r:id="rId208"/>
    <sheet name="SPLC_209" sheetId="209" state="visible" r:id="rId209"/>
    <sheet name="SPLC_210" sheetId="210" state="visible" r:id="rId210"/>
    <sheet name="SPLC_211" sheetId="211" state="visible" r:id="rId211"/>
    <sheet name="SPLC_212" sheetId="212" state="visible" r:id="rId212"/>
    <sheet name="SPLC_213" sheetId="213" state="visible" r:id="rId213"/>
    <sheet name="SPLC_214" sheetId="214" state="visible" r:id="rId214"/>
    <sheet name="SPLC_215" sheetId="215" state="visible" r:id="rId215"/>
    <sheet name="SPLC_216" sheetId="216" state="visible" r:id="rId216"/>
    <sheet name="SPLC_217" sheetId="217" state="visible" r:id="rId217"/>
    <sheet name="SPLC_218" sheetId="218" state="visible" r:id="rId218"/>
    <sheet name="SPLC_219" sheetId="219" state="visible" r:id="rId219"/>
    <sheet name="SPLC_220" sheetId="220" state="visible" r:id="rId220"/>
    <sheet name="SPLC_221" sheetId="221" state="visible" r:id="rId221"/>
    <sheet name="SPLC_222" sheetId="222" state="visible" r:id="rId222"/>
    <sheet name="SPLC_223" sheetId="223" state="visible" r:id="rId223"/>
    <sheet name="SPLC_224" sheetId="224" state="visible" r:id="rId224"/>
    <sheet name="SPLC_225" sheetId="225" state="visible" r:id="rId225"/>
    <sheet name="SPLC_226" sheetId="226" state="visible" r:id="rId226"/>
    <sheet name="SPLC_227" sheetId="227" state="visible" r:id="rId227"/>
    <sheet name="SPLC_228" sheetId="228" state="visible" r:id="rId228"/>
    <sheet name="SPLC_229" sheetId="229" state="visible" r:id="rId229"/>
    <sheet name="SPLC_230" sheetId="230" state="visible" r:id="rId230"/>
    <sheet name="SPLC_231" sheetId="231" state="visible" r:id="rId231"/>
    <sheet name="SPLC_232" sheetId="232" state="visible" r:id="rId232"/>
    <sheet name="SPLC_233" sheetId="233" state="visible" r:id="rId233"/>
    <sheet name="SPLC_234" sheetId="234" state="visible" r:id="rId234"/>
    <sheet name="SPLC_235" sheetId="235" state="visible" r:id="rId235"/>
    <sheet name="SPLC_236" sheetId="236" state="visible" r:id="rId236"/>
    <sheet name="SPLC_237" sheetId="237" state="visible" r:id="rId237"/>
    <sheet name="SPLC_238" sheetId="238" state="visible" r:id="rId238"/>
    <sheet name="SPLC_239" sheetId="239" state="visible" r:id="rId239"/>
    <sheet name="SPLC_240" sheetId="240" state="visible" r:id="rId240"/>
    <sheet name="SPLC_241" sheetId="241" state="visible" r:id="rId241"/>
    <sheet name="SPLC_242" sheetId="242" state="visible" r:id="rId242"/>
    <sheet name="SPLC_243" sheetId="243" state="visible" r:id="rId243"/>
    <sheet name="SPLC_244" sheetId="244" state="visible" r:id="rId244"/>
    <sheet name="SPLC_245" sheetId="245" state="visible" r:id="rId245"/>
    <sheet name="SPLC_246" sheetId="246" state="visible" r:id="rId246"/>
    <sheet name="SPLC_247" sheetId="247" state="visible" r:id="rId247"/>
    <sheet name="SPLC_248" sheetId="248" state="visible" r:id="rId248"/>
    <sheet name="SPLC_249" sheetId="249" state="visible" r:id="rId249"/>
    <sheet name="SPLC_250" sheetId="250" state="visible" r:id="rId2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3366"/>
      <sz val="11"/>
    </font>
    <font>
      <b val="1"/>
      <color rgb="00003366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styles" Target="styles.xml" Id="rId251" /><Relationship Type="http://schemas.openxmlformats.org/officeDocument/2006/relationships/theme" Target="theme/theme1.xml" Id="rId2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TWX US Equity</t>
        </is>
      </c>
      <c r="AE2" s="3" t="inlineStr">
        <is>
          <t>T US Equity</t>
        </is>
      </c>
      <c r="BI2" s="3" t="inlineStr">
        <is>
          <t>RTX US Equity</t>
        </is>
      </c>
      <c r="CM2" s="3" t="inlineStr">
        <is>
          <t>BMY US Equity</t>
        </is>
      </c>
      <c r="DQ2" s="3" t="inlineStr">
        <is>
          <t>PFE US Equity</t>
        </is>
      </c>
      <c r="EU2" s="3" t="inlineStr">
        <is>
          <t>ABBV US Equity</t>
        </is>
      </c>
      <c r="FY2" s="3" t="inlineStr">
        <is>
          <t>DIS US Equity</t>
        </is>
      </c>
      <c r="HC2" s="3" t="inlineStr">
        <is>
          <t>T US Equity</t>
        </is>
      </c>
      <c r="IG2" s="3" t="inlineStr">
        <is>
          <t>XOM US Equity</t>
        </is>
      </c>
      <c r="JK2" s="3" t="inlineStr">
        <is>
          <t>9876540D US Equity</t>
        </is>
      </c>
      <c r="KO2" s="3" t="inlineStr">
        <is>
          <t>VZ US Equity</t>
        </is>
      </c>
      <c r="LS2" s="3" t="inlineStr">
        <is>
          <t>C US Equity</t>
        </is>
      </c>
      <c r="MW2" s="3" t="inlineStr">
        <is>
          <t>CI US Equity</t>
        </is>
      </c>
      <c r="OA2" s="3" t="inlineStr">
        <is>
          <t>CVS US Equity</t>
        </is>
      </c>
      <c r="PE2" s="3" t="inlineStr">
        <is>
          <t>TMUS US Equity</t>
        </is>
      </c>
      <c r="QI2" s="3" t="inlineStr">
        <is>
          <t>T US Equity</t>
        </is>
      </c>
      <c r="RM2" s="3" t="inlineStr">
        <is>
          <t>T US Equity</t>
        </is>
      </c>
      <c r="SQ2" s="3" t="inlineStr">
        <is>
          <t>DD US Equity</t>
        </is>
      </c>
      <c r="TU2" s="3" t="inlineStr">
        <is>
          <t>AGN US Equity</t>
        </is>
      </c>
      <c r="UY2" s="3" t="inlineStr">
        <is>
          <t>PFE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BDS("TWX US Equity","SUPPLY_CHAIN_SUPPLIERS_FULL_DATA")</f>
        <v/>
      </c>
      <c r="O5">
        <f>BDS("TWX US Equity","SUPPLY_CHAIN_CUSTOMERS_FULL_DATA")</f>
        <v/>
      </c>
      <c r="AE5">
        <f>BDS("T US Equity","SUPPLY_CHAIN_SUPPLIERS_FULL_DATA")</f>
        <v/>
      </c>
      <c r="AS5">
        <f>BDS("T US Equity","SUPPLY_CHAIN_CUSTOMERS_FULL_DATA")</f>
        <v/>
      </c>
      <c r="BI5">
        <f>BDS("RTX US Equity","SUPPLY_CHAIN_SUPPLIERS_FULL_DATA")</f>
        <v/>
      </c>
      <c r="BW5">
        <f>BDS("RTX US Equity","SUPPLY_CHAIN_CUSTOMERS_FULL_DATA")</f>
        <v/>
      </c>
      <c r="CM5">
        <f>BDS("BMY US Equity","SUPPLY_CHAIN_SUPPLIERS_FULL_DATA")</f>
        <v/>
      </c>
      <c r="DA5">
        <f>BDS("BMY US Equity","SUPPLY_CHAIN_CUSTOMERS_FULL_DATA")</f>
        <v/>
      </c>
      <c r="DQ5">
        <f>BDS("PFE US Equity","SUPPLY_CHAIN_SUPPLIERS_FULL_DATA")</f>
        <v/>
      </c>
      <c r="EE5">
        <f>BDS("PFE US Equity","SUPPLY_CHAIN_CUSTOMERS_FULL_DATA")</f>
        <v/>
      </c>
      <c r="EU5">
        <f>BDS("ABBV US Equity","SUPPLY_CHAIN_SUPPLIERS_FULL_DATA")</f>
        <v/>
      </c>
      <c r="FI5">
        <f>BDS("ABBV US Equity","SUPPLY_CHAIN_CUSTOMERS_FULL_DATA")</f>
        <v/>
      </c>
      <c r="FY5">
        <f>BDS("DIS US Equity","SUPPLY_CHAIN_SUPPLIERS_FULL_DATA")</f>
        <v/>
      </c>
      <c r="GM5">
        <f>BDS("DIS US Equity","SUPPLY_CHAIN_CUSTOMERS_FULL_DATA")</f>
        <v/>
      </c>
      <c r="HC5">
        <f>BDS("T US Equity","SUPPLY_CHAIN_SUPPLIERS_FULL_DATA")</f>
        <v/>
      </c>
      <c r="HQ5">
        <f>BDS("T US Equity","SUPPLY_CHAIN_CUSTOMERS_FULL_DATA")</f>
        <v/>
      </c>
      <c r="IG5">
        <f>BDS("XOM US Equity","SUPPLY_CHAIN_SUPPLIERS_FULL_DATA")</f>
        <v/>
      </c>
      <c r="IU5">
        <f>BDS("XOM US Equity","SUPPLY_CHAIN_CUSTOMERS_FULL_DATA")</f>
        <v/>
      </c>
      <c r="JK5">
        <f>BDS("9876540D US Equity","SUPPLY_CHAIN_SUPPLIERS_FULL_DATA")</f>
        <v/>
      </c>
      <c r="JY5">
        <f>BDS("9876540D US Equity","SUPPLY_CHAIN_CUSTOMERS_FULL_DATA")</f>
        <v/>
      </c>
      <c r="KO5">
        <f>BDS("VZ US Equity","SUPPLY_CHAIN_SUPPLIERS_FULL_DATA")</f>
        <v/>
      </c>
      <c r="LC5">
        <f>BDS("VZ US Equity","SUPPLY_CHAIN_CUSTOMERS_FULL_DATA")</f>
        <v/>
      </c>
      <c r="LS5">
        <f>BDS("C US Equity","SUPPLY_CHAIN_SUPPLIERS_FULL_DATA")</f>
        <v/>
      </c>
      <c r="MG5">
        <f>BDS("C US Equity","SUPPLY_CHAIN_CUSTOMERS_FULL_DATA")</f>
        <v/>
      </c>
      <c r="MW5">
        <f>BDS("CI US Equity","SUPPLY_CHAIN_SUPPLIERS_FULL_DATA")</f>
        <v/>
      </c>
      <c r="NK5">
        <f>BDS("CI US Equity","SUPPLY_CHAIN_CUSTOMERS_FULL_DATA")</f>
        <v/>
      </c>
      <c r="OA5">
        <f>BDS("CVS US Equity","SUPPLY_CHAIN_SUPPLIERS_FULL_DATA")</f>
        <v/>
      </c>
      <c r="OO5">
        <f>BDS("CVS US Equity","SUPPLY_CHAIN_CUSTOMERS_FULL_DATA")</f>
        <v/>
      </c>
      <c r="PE5">
        <f>BDS("TMUS US Equity","SUPPLY_CHAIN_SUPPLIERS_FULL_DATA")</f>
        <v/>
      </c>
      <c r="PS5">
        <f>BDS("TMUS US Equity","SUPPLY_CHAIN_CUSTOMERS_FULL_DATA")</f>
        <v/>
      </c>
      <c r="QI5">
        <f>BDS("T US Equity","SUPPLY_CHAIN_SUPPLIERS_FULL_DATA")</f>
        <v/>
      </c>
      <c r="QW5">
        <f>BDS("T US Equity","SUPPLY_CHAIN_CUSTOMERS_FULL_DATA")</f>
        <v/>
      </c>
      <c r="RM5">
        <f>BDS("T US Equity","SUPPLY_CHAIN_SUPPLIERS_FULL_DATA")</f>
        <v/>
      </c>
      <c r="SA5">
        <f>BDS("T US Equity","SUPPLY_CHAIN_CUSTOMERS_FULL_DATA")</f>
        <v/>
      </c>
      <c r="SQ5">
        <f>BDS("DD US Equity","SUPPLY_CHAIN_SUPPLIERS_FULL_DATA")</f>
        <v/>
      </c>
      <c r="TE5">
        <f>BDS("DD US Equity","SUPPLY_CHAIN_CUSTOMERS_FULL_DATA")</f>
        <v/>
      </c>
      <c r="TU5">
        <f>BDS("AGN US Equity","SUPPLY_CHAIN_SUPPLIERS_FULL_DATA")</f>
        <v/>
      </c>
      <c r="UI5">
        <f>BDS("AGN US Equity","SUPPLY_CHAIN_CUSTOMERS_FULL_DATA")</f>
        <v/>
      </c>
      <c r="UY5">
        <f>BDS("PFE US Equity","SUPPLY_CHAIN_SUPPLIERS_FULL_DATA")</f>
        <v/>
      </c>
      <c r="VM5">
        <f>BDS("PFE US Equity","SUPPLY_CHAIN_CUSTOMERS_FULL_DATA")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PFE US Equity</t>
        </is>
      </c>
      <c r="AE2" s="3" t="inlineStr">
        <is>
          <t>ET US Equity</t>
        </is>
      </c>
      <c r="BI2" s="3" t="inlineStr">
        <is>
          <t>BAC US Equity</t>
        </is>
      </c>
      <c r="CM2" s="3" t="inlineStr">
        <is>
          <t>PG US Equity</t>
        </is>
      </c>
      <c r="DQ2" s="3" t="inlineStr">
        <is>
          <t>653707Q US Equity</t>
        </is>
      </c>
      <c r="EU2" s="3" t="inlineStr">
        <is>
          <t>OXY US Equity</t>
        </is>
      </c>
      <c r="FY2" s="3" t="inlineStr">
        <is>
          <t>JPM US Equity</t>
        </is>
      </c>
      <c r="HC2" s="3" t="inlineStr">
        <is>
          <t>ETP US Equity</t>
        </is>
      </c>
      <c r="IG2" s="3" t="inlineStr">
        <is>
          <t>KMI US Equity</t>
        </is>
      </c>
      <c r="JK2" s="3" t="inlineStr">
        <is>
          <t>nan Equity</t>
        </is>
      </c>
      <c r="KO2" s="3" t="inlineStr">
        <is>
          <t>BAC US Equity</t>
        </is>
      </c>
      <c r="LS2" s="3" t="inlineStr">
        <is>
          <t>MRK US Equity</t>
        </is>
      </c>
      <c r="MW2" s="3" t="inlineStr">
        <is>
          <t>MDT US Equity</t>
        </is>
      </c>
      <c r="OA2" s="3" t="inlineStr">
        <is>
          <t>0772031D US Equity</t>
        </is>
      </c>
      <c r="PE2" s="3" t="inlineStr">
        <is>
          <t>CVX US Equity</t>
        </is>
      </c>
      <c r="QI2" s="3" t="inlineStr">
        <is>
          <t>SPGI US Equity</t>
        </is>
      </c>
      <c r="RM2" s="3" t="inlineStr">
        <is>
          <t>0848680D US Equity</t>
        </is>
      </c>
      <c r="SQ2" s="3" t="inlineStr">
        <is>
          <t>XOM US Equity</t>
        </is>
      </c>
      <c r="TU2" s="3" t="inlineStr">
        <is>
          <t>FIS US Equity</t>
        </is>
      </c>
      <c r="UY2" s="3" t="inlineStr">
        <is>
          <t>BAC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BDS("PFE US Equity","SUPPLY_CHAIN_SUPPLIERS_FULL_DATA")</f>
        <v/>
      </c>
      <c r="O5">
        <f>BDS("PFE US Equity","SUPPLY_CHAIN_CUSTOMERS_FULL_DATA")</f>
        <v/>
      </c>
      <c r="AE5">
        <f>BDS("ET US Equity","SUPPLY_CHAIN_SUPPLIERS_FULL_DATA")</f>
        <v/>
      </c>
      <c r="AS5">
        <f>BDS("ET US Equity","SUPPLY_CHAIN_CUSTOMERS_FULL_DATA")</f>
        <v/>
      </c>
      <c r="BI5">
        <f>BDS("BAC US Equity","SUPPLY_CHAIN_SUPPLIERS_FULL_DATA")</f>
        <v/>
      </c>
      <c r="BW5">
        <f>BDS("BAC US Equity","SUPPLY_CHAIN_CUSTOMERS_FULL_DATA")</f>
        <v/>
      </c>
      <c r="CM5">
        <f>BDS("PG US Equity","SUPPLY_CHAIN_SUPPLIERS_FULL_DATA")</f>
        <v/>
      </c>
      <c r="DA5">
        <f>BDS("PG US Equity","SUPPLY_CHAIN_CUSTOMERS_FULL_DATA")</f>
        <v/>
      </c>
      <c r="DQ5">
        <f>BDS("653707Q US Equity","SUPPLY_CHAIN_SUPPLIERS_FULL_DATA")</f>
        <v/>
      </c>
      <c r="EE5">
        <f>BDS("653707Q US Equity","SUPPLY_CHAIN_CUSTOMERS_FULL_DATA")</f>
        <v/>
      </c>
      <c r="EU5">
        <f>BDS("OXY US Equity","SUPPLY_CHAIN_SUPPLIERS_FULL_DATA")</f>
        <v/>
      </c>
      <c r="FI5">
        <f>BDS("OXY US Equity","SUPPLY_CHAIN_CUSTOMERS_FULL_DATA")</f>
        <v/>
      </c>
      <c r="FY5">
        <f>BDS("JPM US Equity","SUPPLY_CHAIN_SUPPLIERS_FULL_DATA")</f>
        <v/>
      </c>
      <c r="GM5">
        <f>BDS("JPM US Equity","SUPPLY_CHAIN_CUSTOMERS_FULL_DATA")</f>
        <v/>
      </c>
      <c r="HC5">
        <f>BDS("ETP US Equity","SUPPLY_CHAIN_SUPPLIERS_FULL_DATA")</f>
        <v/>
      </c>
      <c r="HQ5">
        <f>BDS("ETP US Equity","SUPPLY_CHAIN_CUSTOMERS_FULL_DATA")</f>
        <v/>
      </c>
      <c r="IG5">
        <f>BDS("KMI US Equity","SUPPLY_CHAIN_SUPPLIERS_FULL_DATA")</f>
        <v/>
      </c>
      <c r="IU5">
        <f>BDS("KMI US Equity","SUPPLY_CHAIN_CUSTOMERS_FULL_DATA")</f>
        <v/>
      </c>
      <c r="JK5">
        <f>BDS("nan Equity","SUPPLY_CHAIN_SUPPLIERS_FULL_DATA")</f>
        <v/>
      </c>
      <c r="JY5">
        <f>BDS("nan Equity","SUPPLY_CHAIN_CUSTOMERS_FULL_DATA")</f>
        <v/>
      </c>
      <c r="KO5">
        <f>BDS("BAC US Equity","SUPPLY_CHAIN_SUPPLIERS_FULL_DATA")</f>
        <v/>
      </c>
      <c r="LC5">
        <f>BDS("BAC US Equity","SUPPLY_CHAIN_CUSTOMERS_FULL_DATA")</f>
        <v/>
      </c>
      <c r="LS5">
        <f>BDS("MRK US Equity","SUPPLY_CHAIN_SUPPLIERS_FULL_DATA")</f>
        <v/>
      </c>
      <c r="MG5">
        <f>BDS("MRK US Equity","SUPPLY_CHAIN_CUSTOMERS_FULL_DATA")</f>
        <v/>
      </c>
      <c r="MW5">
        <f>BDS("MDT US Equity","SUPPLY_CHAIN_SUPPLIERS_FULL_DATA")</f>
        <v/>
      </c>
      <c r="NK5">
        <f>BDS("MDT US Equity","SUPPLY_CHAIN_CUSTOMERS_FULL_DATA")</f>
        <v/>
      </c>
      <c r="OA5">
        <f>BDS("0772031D US Equity","SUPPLY_CHAIN_SUPPLIERS_FULL_DATA")</f>
        <v/>
      </c>
      <c r="OO5">
        <f>BDS("0772031D US Equity","SUPPLY_CHAIN_CUSTOMERS_FULL_DATA")</f>
        <v/>
      </c>
      <c r="PE5">
        <f>BDS("CVX US Equity","SUPPLY_CHAIN_SUPPLIERS_FULL_DATA")</f>
        <v/>
      </c>
      <c r="PS5">
        <f>BDS("CVX US Equity","SUPPLY_CHAIN_CUSTOMERS_FULL_DATA")</f>
        <v/>
      </c>
      <c r="QI5">
        <f>BDS("SPGI US Equity","SUPPLY_CHAIN_SUPPLIERS_FULL_DATA")</f>
        <v/>
      </c>
      <c r="QW5">
        <f>BDS("SPGI US Equity","SUPPLY_CHAIN_CUSTOMERS_FULL_DATA")</f>
        <v/>
      </c>
      <c r="RM5">
        <f>BDS("0848680D US Equity","SUPPLY_CHAIN_SUPPLIERS_FULL_DATA")</f>
        <v/>
      </c>
      <c r="SA5">
        <f>BDS("0848680D US Equity","SUPPLY_CHAIN_CUSTOMERS_FULL_DATA")</f>
        <v/>
      </c>
      <c r="SQ5">
        <f>BDS("XOM US Equity","SUPPLY_CHAIN_SUPPLIERS_FULL_DATA")</f>
        <v/>
      </c>
      <c r="TE5">
        <f>BDS("XOM US Equity","SUPPLY_CHAIN_CUSTOMERS_FULL_DATA")</f>
        <v/>
      </c>
      <c r="TU5">
        <f>BDS("FIS US Equity","SUPPLY_CHAIN_SUPPLIERS_FULL_DATA")</f>
        <v/>
      </c>
      <c r="UI5">
        <f>BDS("FIS US Equity","SUPPLY_CHAIN_CUSTOMERS_FULL_DATA")</f>
        <v/>
      </c>
      <c r="UY5">
        <f>BDS("BAC US Equity","SUPPLY_CHAIN_SUPPLIERS_FULL_DATA")</f>
        <v/>
      </c>
      <c r="VM5">
        <f>BDS("BAC US Equity","SUPPLY_CHAIN_CUSTOMERS_FULL_DATA")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653707Q US Equity</t>
        </is>
      </c>
      <c r="AE2" s="3" t="inlineStr">
        <is>
          <t>FISV US Equity</t>
        </is>
      </c>
      <c r="BI2" s="3" t="inlineStr">
        <is>
          <t>KMI US Equity</t>
        </is>
      </c>
      <c r="CM2" s="3" t="inlineStr">
        <is>
          <t>VIAV US Equity</t>
        </is>
      </c>
      <c r="DQ2" s="3" t="inlineStr">
        <is>
          <t>COP US Equity</t>
        </is>
      </c>
      <c r="EU2" s="3" t="inlineStr">
        <is>
          <t>WCOEQ US Equity</t>
        </is>
      </c>
      <c r="FY2" s="3" t="inlineStr">
        <is>
          <t>BRK/A US Equity</t>
        </is>
      </c>
      <c r="HC2" s="3" t="inlineStr">
        <is>
          <t>BRK/A US Equity</t>
        </is>
      </c>
      <c r="IG2" s="3" t="inlineStr">
        <is>
          <t>BAC US Equity</t>
        </is>
      </c>
      <c r="JK2" s="3" t="inlineStr">
        <is>
          <t>VIAV US Equity</t>
        </is>
      </c>
      <c r="KO2" s="3" t="inlineStr">
        <is>
          <t>ESRX US Equity</t>
        </is>
      </c>
      <c r="LS2" s="3" t="inlineStr">
        <is>
          <t>PARA US Equity</t>
        </is>
      </c>
      <c r="MW2" s="3" t="inlineStr">
        <is>
          <t>BX US Equity</t>
        </is>
      </c>
      <c r="OA2" s="3" t="inlineStr">
        <is>
          <t>AMD US Equity</t>
        </is>
      </c>
      <c r="PE2" s="3" t="inlineStr">
        <is>
          <t>WPZ US Equity</t>
        </is>
      </c>
      <c r="QI2" s="3" t="inlineStr">
        <is>
          <t>LUMN US Equity</t>
        </is>
      </c>
      <c r="RM2" s="3" t="inlineStr">
        <is>
          <t>JPM US Equity</t>
        </is>
      </c>
      <c r="SQ2" s="3" t="inlineStr">
        <is>
          <t>nan Equity</t>
        </is>
      </c>
      <c r="TU2" s="3" t="inlineStr">
        <is>
          <t>IBM US Equity</t>
        </is>
      </c>
      <c r="UY2" s="3" t="inlineStr">
        <is>
          <t>WFC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BDS("653707Q US Equity","SUPPLY_CHAIN_SUPPLIERS_FULL_DATA")</f>
        <v/>
      </c>
      <c r="O5">
        <f>BDS("653707Q US Equity","SUPPLY_CHAIN_CUSTOMERS_FULL_DATA")</f>
        <v/>
      </c>
      <c r="AE5">
        <f>BDS("FISV US Equity","SUPPLY_CHAIN_SUPPLIERS_FULL_DATA")</f>
        <v/>
      </c>
      <c r="AS5">
        <f>BDS("FISV US Equity","SUPPLY_CHAIN_CUSTOMERS_FULL_DATA")</f>
        <v/>
      </c>
      <c r="BI5">
        <f>BDS("KMI US Equity","SUPPLY_CHAIN_SUPPLIERS_FULL_DATA")</f>
        <v/>
      </c>
      <c r="BW5">
        <f>BDS("KMI US Equity","SUPPLY_CHAIN_CUSTOMERS_FULL_DATA")</f>
        <v/>
      </c>
      <c r="CM5">
        <f>BDS("VIAV US Equity","SUPPLY_CHAIN_SUPPLIERS_FULL_DATA")</f>
        <v/>
      </c>
      <c r="DA5">
        <f>BDS("VIAV US Equity","SUPPLY_CHAIN_CUSTOMERS_FULL_DATA")</f>
        <v/>
      </c>
      <c r="DQ5">
        <f>BDS("COP US Equity","SUPPLY_CHAIN_SUPPLIERS_FULL_DATA")</f>
        <v/>
      </c>
      <c r="EE5">
        <f>BDS("COP US Equity","SUPPLY_CHAIN_CUSTOMERS_FULL_DATA")</f>
        <v/>
      </c>
      <c r="EU5">
        <f>BDS("WCOEQ US Equity","SUPPLY_CHAIN_SUPPLIERS_FULL_DATA")</f>
        <v/>
      </c>
      <c r="FI5">
        <f>BDS("WCOEQ US Equity","SUPPLY_CHAIN_CUSTOMERS_FULL_DATA")</f>
        <v/>
      </c>
      <c r="FY5">
        <f>BDS("BRK/A US Equity","SUPPLY_CHAIN_SUPPLIERS_FULL_DATA")</f>
        <v/>
      </c>
      <c r="GM5">
        <f>BDS("BRK/A US Equity","SUPPLY_CHAIN_CUSTOMERS_FULL_DATA")</f>
        <v/>
      </c>
      <c r="HC5">
        <f>BDS("BRK/A US Equity","SUPPLY_CHAIN_SUPPLIERS_FULL_DATA")</f>
        <v/>
      </c>
      <c r="HQ5">
        <f>BDS("BRK/A US Equity","SUPPLY_CHAIN_CUSTOMERS_FULL_DATA")</f>
        <v/>
      </c>
      <c r="IG5">
        <f>BDS("BAC US Equity","SUPPLY_CHAIN_SUPPLIERS_FULL_DATA")</f>
        <v/>
      </c>
      <c r="IU5">
        <f>BDS("BAC US Equity","SUPPLY_CHAIN_CUSTOMERS_FULL_DATA")</f>
        <v/>
      </c>
      <c r="JK5">
        <f>BDS("VIAV US Equity","SUPPLY_CHAIN_SUPPLIERS_FULL_DATA")</f>
        <v/>
      </c>
      <c r="JY5">
        <f>BDS("VIAV US Equity","SUPPLY_CHAIN_CUSTOMERS_FULL_DATA")</f>
        <v/>
      </c>
      <c r="KO5">
        <f>BDS("ESRX US Equity","SUPPLY_CHAIN_SUPPLIERS_FULL_DATA")</f>
        <v/>
      </c>
      <c r="LC5">
        <f>BDS("ESRX US Equity","SUPPLY_CHAIN_CUSTOMERS_FULL_DATA")</f>
        <v/>
      </c>
      <c r="LS5">
        <f>BDS("PARA US Equity","SUPPLY_CHAIN_SUPPLIERS_FULL_DATA")</f>
        <v/>
      </c>
      <c r="MG5">
        <f>BDS("PARA US Equity","SUPPLY_CHAIN_CUSTOMERS_FULL_DATA")</f>
        <v/>
      </c>
      <c r="MW5">
        <f>BDS("BX US Equity","SUPPLY_CHAIN_SUPPLIERS_FULL_DATA")</f>
        <v/>
      </c>
      <c r="NK5">
        <f>BDS("BX US Equity","SUPPLY_CHAIN_CUSTOMERS_FULL_DATA")</f>
        <v/>
      </c>
      <c r="OA5">
        <f>BDS("AMD US Equity","SUPPLY_CHAIN_SUPPLIERS_FULL_DATA")</f>
        <v/>
      </c>
      <c r="OO5">
        <f>BDS("AMD US Equity","SUPPLY_CHAIN_CUSTOMERS_FULL_DATA")</f>
        <v/>
      </c>
      <c r="PE5">
        <f>BDS("WPZ US Equity","SUPPLY_CHAIN_SUPPLIERS_FULL_DATA")</f>
        <v/>
      </c>
      <c r="PS5">
        <f>BDS("WPZ US Equity","SUPPLY_CHAIN_CUSTOMERS_FULL_DATA")</f>
        <v/>
      </c>
      <c r="QI5">
        <f>BDS("LUMN US Equity","SUPPLY_CHAIN_SUPPLIERS_FULL_DATA")</f>
        <v/>
      </c>
      <c r="QW5">
        <f>BDS("LUMN US Equity","SUPPLY_CHAIN_CUSTOMERS_FULL_DATA")</f>
        <v/>
      </c>
      <c r="RM5">
        <f>BDS("JPM US Equity","SUPPLY_CHAIN_SUPPLIERS_FULL_DATA")</f>
        <v/>
      </c>
      <c r="SA5">
        <f>BDS("JPM US Equity","SUPPLY_CHAIN_CUSTOMERS_FULL_DATA")</f>
        <v/>
      </c>
      <c r="SQ5">
        <f>BDS("nan Equity","SUPPLY_CHAIN_SUPPLIERS_FULL_DATA")</f>
        <v/>
      </c>
      <c r="TE5">
        <f>BDS("nan Equity","SUPPLY_CHAIN_CUSTOMERS_FULL_DATA")</f>
        <v/>
      </c>
      <c r="TU5">
        <f>BDS("IBM US Equity","SUPPLY_CHAIN_SUPPLIERS_FULL_DATA")</f>
        <v/>
      </c>
      <c r="UI5">
        <f>BDS("IBM US Equity","SUPPLY_CHAIN_CUSTOMERS_FULL_DATA")</f>
        <v/>
      </c>
      <c r="UY5">
        <f>BDS("WFC US Equity","SUPPLY_CHAIN_SUPPLIERS_FULL_DATA")</f>
        <v/>
      </c>
      <c r="VM5">
        <f>BDS("WFC US Equity","SUPPLY_CHAIN_CUSTOMERS_FULL_DATA")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C US Equity</t>
        </is>
      </c>
      <c r="BI2" s="3" t="inlineStr">
        <is>
          <t>ABT US Equity</t>
        </is>
      </c>
      <c r="CM2" s="3" t="inlineStr">
        <is>
          <t>SCHW US Equity</t>
        </is>
      </c>
      <c r="DQ2" s="3" t="inlineStr">
        <is>
          <t>3621240Q US Equity</t>
        </is>
      </c>
      <c r="EU2" s="3" t="inlineStr">
        <is>
          <t>RTX US Equity</t>
        </is>
      </c>
      <c r="FY2" s="3" t="inlineStr">
        <is>
          <t>MPC US Equity</t>
        </is>
      </c>
      <c r="HC2" s="3" t="inlineStr">
        <is>
          <t>ORCL US Equity</t>
        </is>
      </c>
      <c r="IG2" s="3" t="inlineStr">
        <is>
          <t>CB US Equity</t>
        </is>
      </c>
      <c r="JK2" s="3" t="inlineStr">
        <is>
          <t>JCI US Equity</t>
        </is>
      </c>
      <c r="KO2" s="3" t="inlineStr">
        <is>
          <t>CZR US Equity</t>
        </is>
      </c>
      <c r="LS2" s="3" t="inlineStr">
        <is>
          <t>TFC US Equity</t>
        </is>
      </c>
      <c r="MW2" s="3" t="inlineStr">
        <is>
          <t>nan Equity</t>
        </is>
      </c>
      <c r="OA2" s="3" t="inlineStr">
        <is>
          <t>nan Equity</t>
        </is>
      </c>
      <c r="PE2" s="3" t="inlineStr">
        <is>
          <t>nan Equity</t>
        </is>
      </c>
      <c r="QI2" s="3" t="inlineStr">
        <is>
          <t>nan Equity</t>
        </is>
      </c>
      <c r="RM2" s="3" t="inlineStr">
        <is>
          <t>nan Equity</t>
        </is>
      </c>
      <c r="SQ2" s="3" t="inlineStr">
        <is>
          <t>RAI US Equity</t>
        </is>
      </c>
      <c r="TU2" s="3" t="inlineStr">
        <is>
          <t>PLD US Equity</t>
        </is>
      </c>
      <c r="UY2" s="3" t="inlineStr">
        <is>
          <t>nan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BDS("C US Equity","SUPPLY_CHAIN_SUPPLIERS_FULL_DATA")</f>
        <v/>
      </c>
      <c r="AS5">
        <f>BDS("C US Equity","SUPPLY_CHAIN_CUSTOMERS_FULL_DATA")</f>
        <v/>
      </c>
      <c r="BI5">
        <f>BDS("ABT US Equity","SUPPLY_CHAIN_SUPPLIERS_FULL_DATA")</f>
        <v/>
      </c>
      <c r="BW5">
        <f>BDS("ABT US Equity","SUPPLY_CHAIN_CUSTOMERS_FULL_DATA")</f>
        <v/>
      </c>
      <c r="CM5">
        <f>BDS("SCHW US Equity","SUPPLY_CHAIN_SUPPLIERS_FULL_DATA")</f>
        <v/>
      </c>
      <c r="DA5">
        <f>BDS("SCHW US Equity","SUPPLY_CHAIN_CUSTOMERS_FULL_DATA")</f>
        <v/>
      </c>
      <c r="DQ5">
        <f>BDS("3621240Q US Equity","SUPPLY_CHAIN_SUPPLIERS_FULL_DATA")</f>
        <v/>
      </c>
      <c r="EE5">
        <f>BDS("3621240Q US Equity","SUPPLY_CHAIN_CUSTOMERS_FULL_DATA")</f>
        <v/>
      </c>
      <c r="EU5">
        <f>BDS("RTX US Equity","SUPPLY_CHAIN_SUPPLIERS_FULL_DATA")</f>
        <v/>
      </c>
      <c r="FI5">
        <f>BDS("RTX US Equity","SUPPLY_CHAIN_CUSTOMERS_FULL_DATA")</f>
        <v/>
      </c>
      <c r="FY5">
        <f>BDS("MPC US Equity","SUPPLY_CHAIN_SUPPLIERS_FULL_DATA")</f>
        <v/>
      </c>
      <c r="GM5">
        <f>BDS("MPC US Equity","SUPPLY_CHAIN_CUSTOMERS_FULL_DATA")</f>
        <v/>
      </c>
      <c r="HC5">
        <f>BDS("ORCL US Equity","SUPPLY_CHAIN_SUPPLIERS_FULL_DATA")</f>
        <v/>
      </c>
      <c r="HQ5">
        <f>BDS("ORCL US Equity","SUPPLY_CHAIN_CUSTOMERS_FULL_DATA")</f>
        <v/>
      </c>
      <c r="IG5">
        <f>BDS("CB US Equity","SUPPLY_CHAIN_SUPPLIERS_FULL_DATA")</f>
        <v/>
      </c>
      <c r="IU5">
        <f>BDS("CB US Equity","SUPPLY_CHAIN_CUSTOMERS_FULL_DATA")</f>
        <v/>
      </c>
      <c r="JK5">
        <f>BDS("JCI US Equity","SUPPLY_CHAIN_SUPPLIERS_FULL_DATA")</f>
        <v/>
      </c>
      <c r="JY5">
        <f>BDS("JCI US Equity","SUPPLY_CHAIN_CUSTOMERS_FULL_DATA")</f>
        <v/>
      </c>
      <c r="KO5">
        <f>BDS("CZR US Equity","SUPPLY_CHAIN_SUPPLIERS_FULL_DATA")</f>
        <v/>
      </c>
      <c r="LC5">
        <f>BDS("CZR US Equity","SUPPLY_CHAIN_CUSTOMERS_FULL_DATA")</f>
        <v/>
      </c>
      <c r="LS5">
        <f>BDS("TFC US Equity","SUPPLY_CHAIN_SUPPLIERS_FULL_DATA")</f>
        <v/>
      </c>
      <c r="MG5">
        <f>BDS("TFC US Equity","SUPPLY_CHAIN_CUSTOMERS_FULL_DATA")</f>
        <v/>
      </c>
      <c r="MW5">
        <f>BDS("nan Equity","SUPPLY_CHAIN_SUPPLIERS_FULL_DATA")</f>
        <v/>
      </c>
      <c r="NK5">
        <f>BDS("nan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BDS("nan Equity","SUPPLY_CHAIN_SUPPLIERS_FULL_DATA")</f>
        <v/>
      </c>
      <c r="PS5">
        <f>BDS("nan Equity","SUPPLY_CHAIN_CUSTOMERS_FULL_DATA")</f>
        <v/>
      </c>
      <c r="QI5">
        <f>BDS("nan Equity","SUPPLY_CHAIN_SUPPLIERS_FULL_DATA")</f>
        <v/>
      </c>
      <c r="QW5">
        <f>BDS("nan Equity","SUPPLY_CHAIN_CUSTOMERS_FULL_DATA")</f>
        <v/>
      </c>
      <c r="RM5">
        <f>BDS("nan Equity","SUPPLY_CHAIN_SUPPLIERS_FULL_DATA")</f>
        <v/>
      </c>
      <c r="SA5">
        <f>BDS("nan Equity","SUPPLY_CHAIN_CUSTOMERS_FULL_DATA")</f>
        <v/>
      </c>
      <c r="SQ5">
        <f>BDS("RAI US Equity","SUPPLY_CHAIN_SUPPLIERS_FULL_DATA")</f>
        <v/>
      </c>
      <c r="TE5">
        <f>BDS("RAI US Equity","SUPPLY_CHAIN_CUSTOMERS_FULL_DATA")</f>
        <v/>
      </c>
      <c r="TU5">
        <f>BDS("PLD US Equity","SUPPLY_CHAIN_SUPPLIERS_FULL_DATA")</f>
        <v/>
      </c>
      <c r="UI5">
        <f>BDS("PLD US Equity","SUPPLY_CHAIN_CUSTOMERS_FULL_DATA")</f>
        <v/>
      </c>
      <c r="UY5">
        <f>BDS("nan Equity","SUPPLY_CHAIN_SUPPLIERS_FULL_DATA")</f>
        <v/>
      </c>
      <c r="VM5">
        <f>BDS("nan Equity","SUPPLY_CHAIN_CUSTOMERS_FULL_DATA")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8375930Q US Equity</t>
        </is>
      </c>
      <c r="AE2" s="3" t="inlineStr">
        <is>
          <t>CRM US Equity</t>
        </is>
      </c>
      <c r="BI2" s="3" t="inlineStr">
        <is>
          <t>DUK US Equity</t>
        </is>
      </c>
      <c r="CM2" s="3" t="inlineStr">
        <is>
          <t>HPQ US Equity</t>
        </is>
      </c>
      <c r="DQ2" s="3" t="inlineStr">
        <is>
          <t>BSX US Equity</t>
        </is>
      </c>
      <c r="EU2" s="3" t="inlineStr">
        <is>
          <t>748957Q US Equity</t>
        </is>
      </c>
      <c r="FY2" s="3" t="inlineStr">
        <is>
          <t>GPN US Equity</t>
        </is>
      </c>
      <c r="HC2" s="3" t="inlineStr">
        <is>
          <t>1255173D US Equity</t>
        </is>
      </c>
      <c r="IG2" s="3" t="inlineStr">
        <is>
          <t>MSFT US Equity</t>
        </is>
      </c>
      <c r="JK2" s="3" t="inlineStr">
        <is>
          <t>BDX US Equity</t>
        </is>
      </c>
      <c r="KO2" s="3" t="inlineStr">
        <is>
          <t>AIG US Equity</t>
        </is>
      </c>
      <c r="LS2" s="3" t="inlineStr">
        <is>
          <t>FCX US Equity</t>
        </is>
      </c>
      <c r="MW2" s="3" t="inlineStr">
        <is>
          <t>T US Equity</t>
        </is>
      </c>
      <c r="OA2" s="3" t="inlineStr">
        <is>
          <t>LUMN US Equity</t>
        </is>
      </c>
      <c r="PE2" s="3" t="inlineStr">
        <is>
          <t>PARA US Equity</t>
        </is>
      </c>
      <c r="QI2" s="3" t="inlineStr">
        <is>
          <t>USB US Equity</t>
        </is>
      </c>
      <c r="RM2" s="3" t="inlineStr">
        <is>
          <t>CVS US Equity</t>
        </is>
      </c>
      <c r="SQ2" s="3" t="inlineStr">
        <is>
          <t>AGN US Equity</t>
        </is>
      </c>
      <c r="TU2" s="3" t="inlineStr">
        <is>
          <t>2968900Q US Equity</t>
        </is>
      </c>
      <c r="UY2" s="3" t="inlineStr">
        <is>
          <t>TMO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BDS("8375930Q US Equity","SUPPLY_CHAIN_SUPPLIERS_FULL_DATA")</f>
        <v/>
      </c>
      <c r="O5">
        <f>BDS("8375930Q US Equity","SUPPLY_CHAIN_CUSTOMERS_FULL_DATA")</f>
        <v/>
      </c>
      <c r="AE5">
        <f>BDS("CRM US Equity","SUPPLY_CHAIN_SUPPLIERS_FULL_DATA")</f>
        <v/>
      </c>
      <c r="AS5">
        <f>BDS("CRM US Equity","SUPPLY_CHAIN_CUSTOMERS_FULL_DATA")</f>
        <v/>
      </c>
      <c r="BI5">
        <f>BDS("DUK US Equity","SUPPLY_CHAIN_SUPPLIERS_FULL_DATA")</f>
        <v/>
      </c>
      <c r="BW5">
        <f>BDS("DUK US Equity","SUPPLY_CHAIN_CUSTOMERS_FULL_DATA")</f>
        <v/>
      </c>
      <c r="CM5">
        <f>BDS("HPQ US Equity","SUPPLY_CHAIN_SUPPLIERS_FULL_DATA")</f>
        <v/>
      </c>
      <c r="DA5">
        <f>BDS("HPQ US Equity","SUPPLY_CHAIN_CUSTOMERS_FULL_DATA")</f>
        <v/>
      </c>
      <c r="DQ5">
        <f>BDS("BSX US Equity","SUPPLY_CHAIN_SUPPLIERS_FULL_DATA")</f>
        <v/>
      </c>
      <c r="EE5">
        <f>BDS("BSX US Equity","SUPPLY_CHAIN_CUSTOMERS_FULL_DATA")</f>
        <v/>
      </c>
      <c r="EU5">
        <f>BDS("748957Q US Equity","SUPPLY_CHAIN_SUPPLIERS_FULL_DATA")</f>
        <v/>
      </c>
      <c r="FI5">
        <f>BDS("748957Q US Equity","SUPPLY_CHAIN_CUSTOMERS_FULL_DATA")</f>
        <v/>
      </c>
      <c r="FY5">
        <f>BDS("GPN US Equity","SUPPLY_CHAIN_SUPPLIERS_FULL_DATA")</f>
        <v/>
      </c>
      <c r="GM5">
        <f>BDS("GPN US Equity","SUPPLY_CHAIN_CUSTOMERS_FULL_DATA")</f>
        <v/>
      </c>
      <c r="HC5">
        <f>BDS("1255173D US Equity","SUPPLY_CHAIN_SUPPLIERS_FULL_DATA")</f>
        <v/>
      </c>
      <c r="HQ5">
        <f>BDS("1255173D US Equity","SUPPLY_CHAIN_CUSTOMERS_FULL_DATA")</f>
        <v/>
      </c>
      <c r="IG5">
        <f>BDS("MSFT US Equity","SUPPLY_CHAIN_SUPPLIERS_FULL_DATA")</f>
        <v/>
      </c>
      <c r="IU5">
        <f>BDS("MSFT US Equity","SUPPLY_CHAIN_CUSTOMERS_FULL_DATA")</f>
        <v/>
      </c>
      <c r="JK5">
        <f>BDS("BDX US Equity","SUPPLY_CHAIN_SUPPLIERS_FULL_DATA")</f>
        <v/>
      </c>
      <c r="JY5">
        <f>BDS("BDX US Equity","SUPPLY_CHAIN_CUSTOMERS_FULL_DATA")</f>
        <v/>
      </c>
      <c r="KO5">
        <f>BDS("AIG US Equity","SUPPLY_CHAIN_SUPPLIERS_FULL_DATA")</f>
        <v/>
      </c>
      <c r="LC5">
        <f>BDS("AIG US Equity","SUPPLY_CHAIN_CUSTOMERS_FULL_DATA")</f>
        <v/>
      </c>
      <c r="LS5">
        <f>BDS("FCX US Equity","SUPPLY_CHAIN_SUPPLIERS_FULL_DATA")</f>
        <v/>
      </c>
      <c r="MG5">
        <f>BDS("FCX US Equity","SUPPLY_CHAIN_CUSTOMERS_FULL_DATA")</f>
        <v/>
      </c>
      <c r="MW5">
        <f>BDS("T US Equity","SUPPLY_CHAIN_SUPPLIERS_FULL_DATA")</f>
        <v/>
      </c>
      <c r="NK5">
        <f>BDS("T US Equity","SUPPLY_CHAIN_CUSTOMERS_FULL_DATA")</f>
        <v/>
      </c>
      <c r="OA5">
        <f>BDS("LUMN US Equity","SUPPLY_CHAIN_SUPPLIERS_FULL_DATA")</f>
        <v/>
      </c>
      <c r="OO5">
        <f>BDS("LUMN US Equity","SUPPLY_CHAIN_CUSTOMERS_FULL_DATA")</f>
        <v/>
      </c>
      <c r="PE5">
        <f>BDS("PARA US Equity","SUPPLY_CHAIN_SUPPLIERS_FULL_DATA")</f>
        <v/>
      </c>
      <c r="PS5">
        <f>BDS("PARA US Equity","SUPPLY_CHAIN_CUSTOMERS_FULL_DATA")</f>
        <v/>
      </c>
      <c r="QI5">
        <f>BDS("USB US Equity","SUPPLY_CHAIN_SUPPLIERS_FULL_DATA")</f>
        <v/>
      </c>
      <c r="QW5">
        <f>BDS("USB US Equity","SUPPLY_CHAIN_CUSTOMERS_FULL_DATA")</f>
        <v/>
      </c>
      <c r="RM5">
        <f>BDS("CVS US Equity","SUPPLY_CHAIN_SUPPLIERS_FULL_DATA")</f>
        <v/>
      </c>
      <c r="SA5">
        <f>BDS("CVS US Equity","SUPPLY_CHAIN_CUSTOMERS_FULL_DATA")</f>
        <v/>
      </c>
      <c r="SQ5">
        <f>BDS("AGN US Equity","SUPPLY_CHAIN_SUPPLIERS_FULL_DATA")</f>
        <v/>
      </c>
      <c r="TE5">
        <f>BDS("AGN US Equity","SUPPLY_CHAIN_CUSTOMERS_FULL_DATA")</f>
        <v/>
      </c>
      <c r="TU5">
        <f>BDS("2968900Q US Equity","SUPPLY_CHAIN_SUPPLIERS_FULL_DATA")</f>
        <v/>
      </c>
      <c r="UI5">
        <f>BDS("2968900Q US Equity","SUPPLY_CHAIN_CUSTOMERS_FULL_DATA")</f>
        <v/>
      </c>
      <c r="UY5">
        <f>BDS("TMO US Equity","SUPPLY_CHAIN_SUPPLIERS_FULL_DATA")</f>
        <v/>
      </c>
      <c r="VM5">
        <f>BDS("TMO US Equity","SUPPLY_CHAIN_CUSTOMERS_FULL_DATA")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CVX US Equity</t>
        </is>
      </c>
      <c r="AE2" s="3" t="inlineStr">
        <is>
          <t>nan Equity</t>
        </is>
      </c>
      <c r="BI2" s="3" t="inlineStr">
        <is>
          <t>ABBV US Equity</t>
        </is>
      </c>
      <c r="CM2" s="3" t="inlineStr">
        <is>
          <t>ADI US Equity</t>
        </is>
      </c>
      <c r="DQ2" s="3" t="inlineStr">
        <is>
          <t>AIG US Equity</t>
        </is>
      </c>
      <c r="EU2" s="3" t="inlineStr">
        <is>
          <t>LHX US Equity</t>
        </is>
      </c>
      <c r="FY2" s="3" t="inlineStr">
        <is>
          <t>DIS US Equity</t>
        </is>
      </c>
      <c r="HC2" s="3" t="inlineStr">
        <is>
          <t>GILD US Equity</t>
        </is>
      </c>
      <c r="IG2" s="3" t="inlineStr">
        <is>
          <t>WM US Equity</t>
        </is>
      </c>
      <c r="JK2" s="3" t="inlineStr">
        <is>
          <t>DD US Equity</t>
        </is>
      </c>
      <c r="KO2" s="3" t="inlineStr">
        <is>
          <t>MO US Equity</t>
        </is>
      </c>
      <c r="LS2" s="3" t="inlineStr">
        <is>
          <t>APC US Equity</t>
        </is>
      </c>
      <c r="MW2" s="3" t="inlineStr">
        <is>
          <t>AVGO US Equity</t>
        </is>
      </c>
      <c r="OA2" s="3" t="inlineStr">
        <is>
          <t>RTX US Equity</t>
        </is>
      </c>
      <c r="PE2" s="3" t="inlineStr">
        <is>
          <t>NWL US Equity</t>
        </is>
      </c>
      <c r="QI2" s="3" t="inlineStr">
        <is>
          <t>BRK/A US Equity</t>
        </is>
      </c>
      <c r="RM2" s="3" t="inlineStr">
        <is>
          <t>RIG US Equity</t>
        </is>
      </c>
      <c r="SQ2" s="3" t="inlineStr">
        <is>
          <t>9876456D US Equity</t>
        </is>
      </c>
      <c r="TU2" s="3" t="inlineStr">
        <is>
          <t>OKE US Equity</t>
        </is>
      </c>
      <c r="UY2" s="3" t="inlineStr">
        <is>
          <t>MSFT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BDS("CVX US Equity","SUPPLY_CHAIN_SUPPLIERS_FULL_DATA")</f>
        <v/>
      </c>
      <c r="O5">
        <f>BDS("CVX US Equity","SUPPLY_CHAIN_CUSTOMERS_FULL_DATA")</f>
        <v/>
      </c>
      <c r="AE5">
        <f>BDS("nan Equity","SUPPLY_CHAIN_SUPPLIERS_FULL_DATA")</f>
        <v/>
      </c>
      <c r="AS5">
        <f>BDS("nan Equity","SUPPLY_CHAIN_CUSTOMERS_FULL_DATA")</f>
        <v/>
      </c>
      <c r="BI5">
        <f>BDS("ABBV US Equity","SUPPLY_CHAIN_SUPPLIERS_FULL_DATA")</f>
        <v/>
      </c>
      <c r="BW5">
        <f>BDS("ABBV US Equity","SUPPLY_CHAIN_CUSTOMERS_FULL_DATA")</f>
        <v/>
      </c>
      <c r="CM5">
        <f>BDS("ADI US Equity","SUPPLY_CHAIN_SUPPLIERS_FULL_DATA")</f>
        <v/>
      </c>
      <c r="DA5">
        <f>BDS("ADI US Equity","SUPPLY_CHAIN_CUSTOMERS_FULL_DATA")</f>
        <v/>
      </c>
      <c r="DQ5">
        <f>BDS("AIG US Equity","SUPPLY_CHAIN_SUPPLIERS_FULL_DATA")</f>
        <v/>
      </c>
      <c r="EE5">
        <f>BDS("AIG US Equity","SUPPLY_CHAIN_CUSTOMERS_FULL_DATA")</f>
        <v/>
      </c>
      <c r="EU5">
        <f>BDS("LHX US Equity","SUPPLY_CHAIN_SUPPLIERS_FULL_DATA")</f>
        <v/>
      </c>
      <c r="FI5">
        <f>BDS("LHX US Equity","SUPPLY_CHAIN_CUSTOMERS_FULL_DATA")</f>
        <v/>
      </c>
      <c r="FY5">
        <f>BDS("DIS US Equity","SUPPLY_CHAIN_SUPPLIERS_FULL_DATA")</f>
        <v/>
      </c>
      <c r="GM5">
        <f>BDS("DIS US Equity","SUPPLY_CHAIN_CUSTOMERS_FULL_DATA")</f>
        <v/>
      </c>
      <c r="HC5">
        <f>BDS("GILD US Equity","SUPPLY_CHAIN_SUPPLIERS_FULL_DATA")</f>
        <v/>
      </c>
      <c r="HQ5">
        <f>BDS("GILD US Equity","SUPPLY_CHAIN_CUSTOMERS_FULL_DATA")</f>
        <v/>
      </c>
      <c r="IG5">
        <f>BDS("WM US Equity","SUPPLY_CHAIN_SUPPLIERS_FULL_DATA")</f>
        <v/>
      </c>
      <c r="IU5">
        <f>BDS("WM US Equity","SUPPLY_CHAIN_CUSTOMERS_FULL_DATA")</f>
        <v/>
      </c>
      <c r="JK5">
        <f>BDS("DD US Equity","SUPPLY_CHAIN_SUPPLIERS_FULL_DATA")</f>
        <v/>
      </c>
      <c r="JY5">
        <f>BDS("DD US Equity","SUPPLY_CHAIN_CUSTOMERS_FULL_DATA")</f>
        <v/>
      </c>
      <c r="KO5">
        <f>BDS("MO US Equity","SUPPLY_CHAIN_SUPPLIERS_FULL_DATA")</f>
        <v/>
      </c>
      <c r="LC5">
        <f>BDS("MO US Equity","SUPPLY_CHAIN_CUSTOMERS_FULL_DATA")</f>
        <v/>
      </c>
      <c r="LS5">
        <f>BDS("APC US Equity","SUPPLY_CHAIN_SUPPLIERS_FULL_DATA")</f>
        <v/>
      </c>
      <c r="MG5">
        <f>BDS("APC US Equity","SUPPLY_CHAIN_CUSTOMERS_FULL_DATA")</f>
        <v/>
      </c>
      <c r="MW5">
        <f>BDS("AVGO US Equity","SUPPLY_CHAIN_SUPPLIERS_FULL_DATA")</f>
        <v/>
      </c>
      <c r="NK5">
        <f>BDS("AVGO US Equity","SUPPLY_CHAIN_CUSTOMERS_FULL_DATA")</f>
        <v/>
      </c>
      <c r="OA5">
        <f>BDS("RTX US Equity","SUPPLY_CHAIN_SUPPLIERS_FULL_DATA")</f>
        <v/>
      </c>
      <c r="OO5">
        <f>BDS("RTX US Equity","SUPPLY_CHAIN_CUSTOMERS_FULL_DATA")</f>
        <v/>
      </c>
      <c r="PE5">
        <f>BDS("NWL US Equity","SUPPLY_CHAIN_SUPPLIERS_FULL_DATA")</f>
        <v/>
      </c>
      <c r="PS5">
        <f>BDS("NWL US Equity","SUPPLY_CHAIN_CUSTOMERS_FULL_DATA")</f>
        <v/>
      </c>
      <c r="QI5">
        <f>BDS("BRK/A US Equity","SUPPLY_CHAIN_SUPPLIERS_FULL_DATA")</f>
        <v/>
      </c>
      <c r="QW5">
        <f>BDS("BRK/A US Equity","SUPPLY_CHAIN_CUSTOMERS_FULL_DATA")</f>
        <v/>
      </c>
      <c r="RM5">
        <f>BDS("RIG US Equity","SUPPLY_CHAIN_SUPPLIERS_FULL_DATA")</f>
        <v/>
      </c>
      <c r="SA5">
        <f>BDS("RIG US Equity","SUPPLY_CHAIN_CUSTOMERS_FULL_DATA")</f>
        <v/>
      </c>
      <c r="SQ5">
        <f>BDS("9876456D US Equity","SUPPLY_CHAIN_SUPPLIERS_FULL_DATA")</f>
        <v/>
      </c>
      <c r="TE5">
        <f>BDS("9876456D US Equity","SUPPLY_CHAIN_CUSTOMERS_FULL_DATA")</f>
        <v/>
      </c>
      <c r="TU5">
        <f>BDS("OKE US Equity","SUPPLY_CHAIN_SUPPLIERS_FULL_DATA")</f>
        <v/>
      </c>
      <c r="UI5">
        <f>BDS("OKE US Equity","SUPPLY_CHAIN_CUSTOMERS_FULL_DATA")</f>
        <v/>
      </c>
      <c r="UY5">
        <f>BDS("MSFT US Equity","SUPPLY_CHAIN_SUPPLIERS_FULL_DATA")</f>
        <v/>
      </c>
      <c r="VM5">
        <f>BDS("MSFT US Equity","SUPPLY_CHAIN_CUSTOMERS_FULL_DATA")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PFE US Equity</t>
        </is>
      </c>
      <c r="AE2" s="3" t="inlineStr">
        <is>
          <t>M US Equity</t>
        </is>
      </c>
      <c r="BI2" s="3" t="inlineStr">
        <is>
          <t>BK US Equity</t>
        </is>
      </c>
      <c r="CM2" s="3" t="inlineStr">
        <is>
          <t>PLD US Equity</t>
        </is>
      </c>
      <c r="DQ2" s="3" t="inlineStr">
        <is>
          <t>O US Equity</t>
        </is>
      </c>
      <c r="EU2" s="3" t="inlineStr">
        <is>
          <t>3153670Q US Equity</t>
        </is>
      </c>
      <c r="FY2" s="3" t="inlineStr">
        <is>
          <t>JNJ US Equity</t>
        </is>
      </c>
      <c r="HC2" s="3" t="inlineStr">
        <is>
          <t>nan Equity</t>
        </is>
      </c>
      <c r="IG2" s="3" t="inlineStr">
        <is>
          <t>TRV US Equity</t>
        </is>
      </c>
      <c r="JK2" s="3" t="inlineStr">
        <is>
          <t>VRSN US Equity</t>
        </is>
      </c>
      <c r="KO2" s="3" t="inlineStr">
        <is>
          <t>nan Equity</t>
        </is>
      </c>
      <c r="LS2" s="3" t="inlineStr">
        <is>
          <t>HON US Equity</t>
        </is>
      </c>
      <c r="MW2" s="3" t="inlineStr">
        <is>
          <t>VICI US Equity</t>
        </is>
      </c>
      <c r="OA2" s="3" t="inlineStr">
        <is>
          <t>nan Equity</t>
        </is>
      </c>
      <c r="PE2" s="3" t="inlineStr">
        <is>
          <t>TMO US Equity</t>
        </is>
      </c>
      <c r="QI2" s="3" t="inlineStr">
        <is>
          <t>FBF US Equity</t>
        </is>
      </c>
      <c r="RM2" s="3" t="inlineStr">
        <is>
          <t>MAR US Equity</t>
        </is>
      </c>
      <c r="SQ2" s="3" t="inlineStr">
        <is>
          <t>SLB US Equity</t>
        </is>
      </c>
      <c r="TU2" s="3" t="inlineStr">
        <is>
          <t>1996074D US Equity</t>
        </is>
      </c>
      <c r="UY2" s="3" t="inlineStr">
        <is>
          <t>WBD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BDS("PFE US Equity","SUPPLY_CHAIN_SUPPLIERS_FULL_DATA")</f>
        <v/>
      </c>
      <c r="O5">
        <f>BDS("PFE US Equity","SUPPLY_CHAIN_CUSTOMERS_FULL_DATA")</f>
        <v/>
      </c>
      <c r="AE5">
        <f>BDS("M US Equity","SUPPLY_CHAIN_SUPPLIERS_FULL_DATA")</f>
        <v/>
      </c>
      <c r="AS5">
        <f>BDS("M US Equity","SUPPLY_CHAIN_CUSTOMERS_FULL_DATA")</f>
        <v/>
      </c>
      <c r="BI5">
        <f>BDS("BK US Equity","SUPPLY_CHAIN_SUPPLIERS_FULL_DATA")</f>
        <v/>
      </c>
      <c r="BW5">
        <f>BDS("BK US Equity","SUPPLY_CHAIN_CUSTOMERS_FULL_DATA")</f>
        <v/>
      </c>
      <c r="CM5">
        <f>BDS("PLD US Equity","SUPPLY_CHAIN_SUPPLIERS_FULL_DATA")</f>
        <v/>
      </c>
      <c r="DA5">
        <f>BDS("PLD US Equity","SUPPLY_CHAIN_CUSTOMERS_FULL_DATA")</f>
        <v/>
      </c>
      <c r="DQ5">
        <f>BDS("O US Equity","SUPPLY_CHAIN_SUPPLIERS_FULL_DATA")</f>
        <v/>
      </c>
      <c r="EE5">
        <f>BDS("O US Equity","SUPPLY_CHAIN_CUSTOMERS_FULL_DATA")</f>
        <v/>
      </c>
      <c r="EU5">
        <f>BDS("3153670Q US Equity","SUPPLY_CHAIN_SUPPLIERS_FULL_DATA")</f>
        <v/>
      </c>
      <c r="FI5">
        <f>BDS("3153670Q US Equity","SUPPLY_CHAIN_CUSTOMERS_FULL_DATA")</f>
        <v/>
      </c>
      <c r="FY5">
        <f>BDS("JNJ US Equity","SUPPLY_CHAIN_SUPPLIERS_FULL_DATA")</f>
        <v/>
      </c>
      <c r="GM5">
        <f>BDS("JNJ US Equity","SUPPLY_CHAIN_CUSTOMERS_FULL_DATA")</f>
        <v/>
      </c>
      <c r="HC5">
        <f>BDS("nan Equity","SUPPLY_CHAIN_SUPPLIERS_FULL_DATA")</f>
        <v/>
      </c>
      <c r="HQ5">
        <f>BDS("nan Equity","SUPPLY_CHAIN_CUSTOMERS_FULL_DATA")</f>
        <v/>
      </c>
      <c r="IG5">
        <f>BDS("TRV US Equity","SUPPLY_CHAIN_SUPPLIERS_FULL_DATA")</f>
        <v/>
      </c>
      <c r="IU5">
        <f>BDS("TRV US Equity","SUPPLY_CHAIN_CUSTOMERS_FULL_DATA")</f>
        <v/>
      </c>
      <c r="JK5">
        <f>BDS("VRSN US Equity","SUPPLY_CHAIN_SUPPLIERS_FULL_DATA")</f>
        <v/>
      </c>
      <c r="JY5">
        <f>BDS("VRSN US Equity","SUPPLY_CHAIN_CUSTOMERS_FULL_DATA")</f>
        <v/>
      </c>
      <c r="KO5">
        <f>BDS("nan Equity","SUPPLY_CHAIN_SUPPLIERS_FULL_DATA")</f>
        <v/>
      </c>
      <c r="LC5">
        <f>BDS("nan Equity","SUPPLY_CHAIN_CUSTOMERS_FULL_DATA")</f>
        <v/>
      </c>
      <c r="LS5">
        <f>BDS("HON US Equity","SUPPLY_CHAIN_SUPPLIERS_FULL_DATA")</f>
        <v/>
      </c>
      <c r="MG5">
        <f>BDS("HON US Equity","SUPPLY_CHAIN_CUSTOMERS_FULL_DATA")</f>
        <v/>
      </c>
      <c r="MW5">
        <f>BDS("VICI US Equity","SUPPLY_CHAIN_SUPPLIERS_FULL_DATA")</f>
        <v/>
      </c>
      <c r="NK5">
        <f>BDS("VICI US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BDS("TMO US Equity","SUPPLY_CHAIN_SUPPLIERS_FULL_DATA")</f>
        <v/>
      </c>
      <c r="PS5">
        <f>BDS("TMO US Equity","SUPPLY_CHAIN_CUSTOMERS_FULL_DATA")</f>
        <v/>
      </c>
      <c r="QI5">
        <f>BDS("FBF US Equity","SUPPLY_CHAIN_SUPPLIERS_FULL_DATA")</f>
        <v/>
      </c>
      <c r="QW5">
        <f>BDS("FBF US Equity","SUPPLY_CHAIN_CUSTOMERS_FULL_DATA")</f>
        <v/>
      </c>
      <c r="RM5">
        <f>BDS("MAR US Equity","SUPPLY_CHAIN_SUPPLIERS_FULL_DATA")</f>
        <v/>
      </c>
      <c r="SA5">
        <f>BDS("MAR US Equity","SUPPLY_CHAIN_CUSTOMERS_FULL_DATA")</f>
        <v/>
      </c>
      <c r="SQ5">
        <f>BDS("SLB US Equity","SUPPLY_CHAIN_SUPPLIERS_FULL_DATA")</f>
        <v/>
      </c>
      <c r="TE5">
        <f>BDS("SLB US Equity","SUPPLY_CHAIN_CUSTOMERS_FULL_DATA")</f>
        <v/>
      </c>
      <c r="TU5">
        <f>BDS("1996074D US Equity","SUPPLY_CHAIN_SUPPLIERS_FULL_DATA")</f>
        <v/>
      </c>
      <c r="UI5">
        <f>BDS("1996074D US Equity","SUPPLY_CHAIN_CUSTOMERS_FULL_DATA")</f>
        <v/>
      </c>
      <c r="UY5">
        <f>BDS("WBD US Equity","SUPPLY_CHAIN_SUPPLIERS_FULL_DATA")</f>
        <v/>
      </c>
      <c r="VM5">
        <f>BDS("WBD US Equity","SUPPLY_CHAIN_CUSTOMERS_FULL_DATA")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PEP US Equity</t>
        </is>
      </c>
      <c r="AE2" s="3" t="inlineStr">
        <is>
          <t>WFC US Equity</t>
        </is>
      </c>
      <c r="BI2" s="3" t="inlineStr">
        <is>
          <t>ELV US Equity</t>
        </is>
      </c>
      <c r="CM2" s="3" t="inlineStr">
        <is>
          <t>COF US Equity</t>
        </is>
      </c>
      <c r="DQ2" s="3" t="inlineStr">
        <is>
          <t>MS US Equity</t>
        </is>
      </c>
      <c r="EU2" s="3" t="inlineStr">
        <is>
          <t>D US Equity</t>
        </is>
      </c>
      <c r="FY2" s="3" t="inlineStr">
        <is>
          <t>INTC US Equity</t>
        </is>
      </c>
      <c r="HC2" s="3" t="inlineStr">
        <is>
          <t>WDC US Equity</t>
        </is>
      </c>
      <c r="IG2" s="3" t="inlineStr">
        <is>
          <t>INTC US Equity</t>
        </is>
      </c>
      <c r="JK2" s="3" t="inlineStr">
        <is>
          <t>1255173D US Equity</t>
        </is>
      </c>
      <c r="KO2" s="3" t="inlineStr">
        <is>
          <t>CRM US Equity</t>
        </is>
      </c>
      <c r="LS2" s="3" t="inlineStr">
        <is>
          <t>nan Equity</t>
        </is>
      </c>
      <c r="MW2" s="3" t="inlineStr">
        <is>
          <t>MCK US Equity</t>
        </is>
      </c>
      <c r="OA2" s="3" t="inlineStr">
        <is>
          <t>WAMUQ US Equity</t>
        </is>
      </c>
      <c r="PE2" s="3" t="inlineStr">
        <is>
          <t>DHR US Equity</t>
        </is>
      </c>
      <c r="QI2" s="3" t="inlineStr">
        <is>
          <t>NOC US Equity</t>
        </is>
      </c>
      <c r="RM2" s="3" t="inlineStr">
        <is>
          <t>DUK US Equity</t>
        </is>
      </c>
      <c r="SQ2" s="3" t="inlineStr">
        <is>
          <t>PFE US Equity</t>
        </is>
      </c>
      <c r="TU2" s="3" t="inlineStr">
        <is>
          <t>MPLX US Equity</t>
        </is>
      </c>
      <c r="UY2" s="3" t="inlineStr">
        <is>
          <t>GEN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BDS("PEP US Equity","SUPPLY_CHAIN_SUPPLIERS_FULL_DATA")</f>
        <v/>
      </c>
      <c r="O5">
        <f>BDS("PEP US Equity","SUPPLY_CHAIN_CUSTOMERS_FULL_DATA")</f>
        <v/>
      </c>
      <c r="AE5">
        <f>BDS("WFC US Equity","SUPPLY_CHAIN_SUPPLIERS_FULL_DATA")</f>
        <v/>
      </c>
      <c r="AS5">
        <f>BDS("WFC US Equity","SUPPLY_CHAIN_CUSTOMERS_FULL_DATA")</f>
        <v/>
      </c>
      <c r="BI5">
        <f>BDS("ELV US Equity","SUPPLY_CHAIN_SUPPLIERS_FULL_DATA")</f>
        <v/>
      </c>
      <c r="BW5">
        <f>BDS("ELV US Equity","SUPPLY_CHAIN_CUSTOMERS_FULL_DATA")</f>
        <v/>
      </c>
      <c r="CM5">
        <f>BDS("COF US Equity","SUPPLY_CHAIN_SUPPLIERS_FULL_DATA")</f>
        <v/>
      </c>
      <c r="DA5">
        <f>BDS("COF US Equity","SUPPLY_CHAIN_CUSTOMERS_FULL_DATA")</f>
        <v/>
      </c>
      <c r="DQ5">
        <f>BDS("MS US Equity","SUPPLY_CHAIN_SUPPLIERS_FULL_DATA")</f>
        <v/>
      </c>
      <c r="EE5">
        <f>BDS("MS US Equity","SUPPLY_CHAIN_CUSTOMERS_FULL_DATA")</f>
        <v/>
      </c>
      <c r="EU5">
        <f>BDS("D US Equity","SUPPLY_CHAIN_SUPPLIERS_FULL_DATA")</f>
        <v/>
      </c>
      <c r="FI5">
        <f>BDS("D US Equity","SUPPLY_CHAIN_CUSTOMERS_FULL_DATA")</f>
        <v/>
      </c>
      <c r="FY5">
        <f>BDS("INTC US Equity","SUPPLY_CHAIN_SUPPLIERS_FULL_DATA")</f>
        <v/>
      </c>
      <c r="GM5">
        <f>BDS("INTC US Equity","SUPPLY_CHAIN_CUSTOMERS_FULL_DATA")</f>
        <v/>
      </c>
      <c r="HC5">
        <f>BDS("WDC US Equity","SUPPLY_CHAIN_SUPPLIERS_FULL_DATA")</f>
        <v/>
      </c>
      <c r="HQ5">
        <f>BDS("WDC US Equity","SUPPLY_CHAIN_CUSTOMERS_FULL_DATA")</f>
        <v/>
      </c>
      <c r="IG5">
        <f>BDS("INTC US Equity","SUPPLY_CHAIN_SUPPLIERS_FULL_DATA")</f>
        <v/>
      </c>
      <c r="IU5">
        <f>BDS("INTC US Equity","SUPPLY_CHAIN_CUSTOMERS_FULL_DATA")</f>
        <v/>
      </c>
      <c r="JK5">
        <f>BDS("1255173D US Equity","SUPPLY_CHAIN_SUPPLIERS_FULL_DATA")</f>
        <v/>
      </c>
      <c r="JY5">
        <f>BDS("1255173D US Equity","SUPPLY_CHAIN_CUSTOMERS_FULL_DATA")</f>
        <v/>
      </c>
      <c r="KO5">
        <f>BDS("CRM US Equity","SUPPLY_CHAIN_SUPPLIERS_FULL_DATA")</f>
        <v/>
      </c>
      <c r="LC5">
        <f>BDS("CRM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BDS("MCK US Equity","SUPPLY_CHAIN_SUPPLIERS_FULL_DATA")</f>
        <v/>
      </c>
      <c r="NK5">
        <f>BDS("MCK US Equity","SUPPLY_CHAIN_CUSTOMERS_FULL_DATA")</f>
        <v/>
      </c>
      <c r="OA5">
        <f>BDS("WAMUQ US Equity","SUPPLY_CHAIN_SUPPLIERS_FULL_DATA")</f>
        <v/>
      </c>
      <c r="OO5">
        <f>BDS("WAMUQ US Equity","SUPPLY_CHAIN_CUSTOMERS_FULL_DATA")</f>
        <v/>
      </c>
      <c r="PE5">
        <f>BDS("DHR US Equity","SUPPLY_CHAIN_SUPPLIERS_FULL_DATA")</f>
        <v/>
      </c>
      <c r="PS5">
        <f>BDS("DHR US Equity","SUPPLY_CHAIN_CUSTOMERS_FULL_DATA")</f>
        <v/>
      </c>
      <c r="QI5">
        <f>BDS("NOC US Equity","SUPPLY_CHAIN_SUPPLIERS_FULL_DATA")</f>
        <v/>
      </c>
      <c r="QW5">
        <f>BDS("NOC US Equity","SUPPLY_CHAIN_CUSTOMERS_FULL_DATA")</f>
        <v/>
      </c>
      <c r="RM5">
        <f>BDS("DUK US Equity","SUPPLY_CHAIN_SUPPLIERS_FULL_DATA")</f>
        <v/>
      </c>
      <c r="SA5">
        <f>BDS("DUK US Equity","SUPPLY_CHAIN_CUSTOMERS_FULL_DATA")</f>
        <v/>
      </c>
      <c r="SQ5">
        <f>BDS("PFE US Equity","SUPPLY_CHAIN_SUPPLIERS_FULL_DATA")</f>
        <v/>
      </c>
      <c r="TE5">
        <f>BDS("PFE US Equity","SUPPLY_CHAIN_CUSTOMERS_FULL_DATA")</f>
        <v/>
      </c>
      <c r="TU5">
        <f>BDS("MPLX US Equity","SUPPLY_CHAIN_SUPPLIERS_FULL_DATA")</f>
        <v/>
      </c>
      <c r="UI5">
        <f>BDS("MPLX US Equity","SUPPLY_CHAIN_CUSTOMERS_FULL_DATA")</f>
        <v/>
      </c>
      <c r="UY5">
        <f>BDS("GEN US Equity","SUPPLY_CHAIN_SUPPLIERS_FULL_DATA")</f>
        <v/>
      </c>
      <c r="VM5">
        <f>BDS("GEN US Equity","SUPPLY_CHAIN_CUSTOMERS_FULL_DATA")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BRK/A US Equity</t>
        </is>
      </c>
      <c r="AE2" s="3" t="inlineStr">
        <is>
          <t>RAI US Equity</t>
        </is>
      </c>
      <c r="BI2" s="3" t="inlineStr">
        <is>
          <t>AMZN US Equity</t>
        </is>
      </c>
      <c r="CM2" s="3" t="inlineStr">
        <is>
          <t>1255173D US Equity</t>
        </is>
      </c>
      <c r="DQ2" s="3" t="inlineStr">
        <is>
          <t>CNC US Equity</t>
        </is>
      </c>
      <c r="EU2" s="3" t="inlineStr">
        <is>
          <t>BHC CN Equity</t>
        </is>
      </c>
      <c r="FY2" s="3" t="inlineStr">
        <is>
          <t>COP US Equity</t>
        </is>
      </c>
      <c r="HC2" s="3" t="inlineStr">
        <is>
          <t>UNH US Equity</t>
        </is>
      </c>
      <c r="IG2" s="3" t="inlineStr">
        <is>
          <t>TDOC US Equity</t>
        </is>
      </c>
      <c r="JK2" s="3" t="inlineStr">
        <is>
          <t>SHLDQ US Equity</t>
        </is>
      </c>
      <c r="KO2" s="3" t="inlineStr">
        <is>
          <t>RSG US Equity</t>
        </is>
      </c>
      <c r="LS2" s="3" t="inlineStr">
        <is>
          <t>HPQ US Equity</t>
        </is>
      </c>
      <c r="MW2" s="3" t="inlineStr">
        <is>
          <t>ETN US Equity</t>
        </is>
      </c>
      <c r="OA2" s="3" t="inlineStr">
        <is>
          <t>ADI US Equity</t>
        </is>
      </c>
      <c r="PE2" s="3" t="inlineStr">
        <is>
          <t>UNH US Equity</t>
        </is>
      </c>
      <c r="QI2" s="3" t="inlineStr">
        <is>
          <t>BX US Equity</t>
        </is>
      </c>
      <c r="RM2" s="3" t="inlineStr">
        <is>
          <t>CVX US Equity</t>
        </is>
      </c>
      <c r="SQ2" s="3" t="inlineStr">
        <is>
          <t>KR US Equity</t>
        </is>
      </c>
      <c r="TU2" s="3" t="inlineStr">
        <is>
          <t>LUMN US Equity</t>
        </is>
      </c>
      <c r="UY2" s="3" t="inlineStr">
        <is>
          <t>IQV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BDS("BRK/A US Equity","SUPPLY_CHAIN_SUPPLIERS_FULL_DATA")</f>
        <v/>
      </c>
      <c r="O5">
        <f>BDS("BRK/A US Equity","SUPPLY_CHAIN_CUSTOMERS_FULL_DATA")</f>
        <v/>
      </c>
      <c r="AE5">
        <f>BDS("RAI US Equity","SUPPLY_CHAIN_SUPPLIERS_FULL_DATA")</f>
        <v/>
      </c>
      <c r="AS5">
        <f>BDS("RAI US Equity","SUPPLY_CHAIN_CUSTOMERS_FULL_DATA")</f>
        <v/>
      </c>
      <c r="BI5">
        <f>BDS("AMZN US Equity","SUPPLY_CHAIN_SUPPLIERS_FULL_DATA")</f>
        <v/>
      </c>
      <c r="BW5">
        <f>BDS("AMZN US Equity","SUPPLY_CHAIN_CUSTOMERS_FULL_DATA")</f>
        <v/>
      </c>
      <c r="CM5">
        <f>BDS("1255173D US Equity","SUPPLY_CHAIN_SUPPLIERS_FULL_DATA")</f>
        <v/>
      </c>
      <c r="DA5">
        <f>BDS("1255173D US Equity","SUPPLY_CHAIN_CUSTOMERS_FULL_DATA")</f>
        <v/>
      </c>
      <c r="DQ5">
        <f>BDS("CNC US Equity","SUPPLY_CHAIN_SUPPLIERS_FULL_DATA")</f>
        <v/>
      </c>
      <c r="EE5">
        <f>BDS("CNC US Equity","SUPPLY_CHAIN_CUSTOMERS_FULL_DATA")</f>
        <v/>
      </c>
      <c r="EU5">
        <f>BDS("BHC CN Equity","SUPPLY_CHAIN_SUPPLIERS_FULL_DATA")</f>
        <v/>
      </c>
      <c r="FI5">
        <f>BDS("BHC CN Equity","SUPPLY_CHAIN_CUSTOMERS_FULL_DATA")</f>
        <v/>
      </c>
      <c r="FY5">
        <f>BDS("COP US Equity","SUPPLY_CHAIN_SUPPLIERS_FULL_DATA")</f>
        <v/>
      </c>
      <c r="GM5">
        <f>BDS("COP US Equity","SUPPLY_CHAIN_CUSTOMERS_FULL_DATA")</f>
        <v/>
      </c>
      <c r="HC5">
        <f>BDS("UNH US Equity","SUPPLY_CHAIN_SUPPLIERS_FULL_DATA")</f>
        <v/>
      </c>
      <c r="HQ5">
        <f>BDS("UNH US Equity","SUPPLY_CHAIN_CUSTOMERS_FULL_DATA")</f>
        <v/>
      </c>
      <c r="IG5">
        <f>BDS("TDOC US Equity","SUPPLY_CHAIN_SUPPLIERS_FULL_DATA")</f>
        <v/>
      </c>
      <c r="IU5">
        <f>BDS("TDOC US Equity","SUPPLY_CHAIN_CUSTOMERS_FULL_DATA")</f>
        <v/>
      </c>
      <c r="JK5">
        <f>BDS("SHLDQ US Equity","SUPPLY_CHAIN_SUPPLIERS_FULL_DATA")</f>
        <v/>
      </c>
      <c r="JY5">
        <f>BDS("SHLDQ US Equity","SUPPLY_CHAIN_CUSTOMERS_FULL_DATA")</f>
        <v/>
      </c>
      <c r="KO5">
        <f>BDS("RSG US Equity","SUPPLY_CHAIN_SUPPLIERS_FULL_DATA")</f>
        <v/>
      </c>
      <c r="LC5">
        <f>BDS("RSG US Equity","SUPPLY_CHAIN_CUSTOMERS_FULL_DATA")</f>
        <v/>
      </c>
      <c r="LS5">
        <f>BDS("HPQ US Equity","SUPPLY_CHAIN_SUPPLIERS_FULL_DATA")</f>
        <v/>
      </c>
      <c r="MG5">
        <f>BDS("HPQ US Equity","SUPPLY_CHAIN_CUSTOMERS_FULL_DATA")</f>
        <v/>
      </c>
      <c r="MW5">
        <f>BDS("ETN US Equity","SUPPLY_CHAIN_SUPPLIERS_FULL_DATA")</f>
        <v/>
      </c>
      <c r="NK5">
        <f>BDS("ETN US Equity","SUPPLY_CHAIN_CUSTOMERS_FULL_DATA")</f>
        <v/>
      </c>
      <c r="OA5">
        <f>BDS("ADI US Equity","SUPPLY_CHAIN_SUPPLIERS_FULL_DATA")</f>
        <v/>
      </c>
      <c r="OO5">
        <f>BDS("ADI US Equity","SUPPLY_CHAIN_CUSTOMERS_FULL_DATA")</f>
        <v/>
      </c>
      <c r="PE5">
        <f>BDS("UNH US Equity","SUPPLY_CHAIN_SUPPLIERS_FULL_DATA")</f>
        <v/>
      </c>
      <c r="PS5">
        <f>BDS("UNH US Equity","SUPPLY_CHAIN_CUSTOMERS_FULL_DATA")</f>
        <v/>
      </c>
      <c r="QI5">
        <f>BDS("BX US Equity","SUPPLY_CHAIN_SUPPLIERS_FULL_DATA")</f>
        <v/>
      </c>
      <c r="QW5">
        <f>BDS("BX US Equity","SUPPLY_CHAIN_CUSTOMERS_FULL_DATA")</f>
        <v/>
      </c>
      <c r="RM5">
        <f>BDS("CVX US Equity","SUPPLY_CHAIN_SUPPLIERS_FULL_DATA")</f>
        <v/>
      </c>
      <c r="SA5">
        <f>BDS("CVX US Equity","SUPPLY_CHAIN_CUSTOMERS_FULL_DATA")</f>
        <v/>
      </c>
      <c r="SQ5">
        <f>BDS("KR US Equity","SUPPLY_CHAIN_SUPPLIERS_FULL_DATA")</f>
        <v/>
      </c>
      <c r="TE5">
        <f>BDS("KR US Equity","SUPPLY_CHAIN_CUSTOMERS_FULL_DATA")</f>
        <v/>
      </c>
      <c r="TU5">
        <f>BDS("LUMN US Equity","SUPPLY_CHAIN_SUPPLIERS_FULL_DATA")</f>
        <v/>
      </c>
      <c r="UI5">
        <f>BDS("LUMN US Equity","SUPPLY_CHAIN_CUSTOMERS_FULL_DATA")</f>
        <v/>
      </c>
      <c r="UY5">
        <f>BDS("IQV US Equity","SUPPLY_CHAIN_SUPPLIERS_FULL_DATA")</f>
        <v/>
      </c>
      <c r="VM5">
        <f>BDS("IQV US Equity","SUPPLY_CHAIN_CUSTOMERS_FULL_DATA")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1312089D US Equity</t>
        </is>
      </c>
      <c r="AE2" s="3" t="inlineStr">
        <is>
          <t>SLB US Equity</t>
        </is>
      </c>
      <c r="BI2" s="3" t="inlineStr">
        <is>
          <t>PLD US Equity</t>
        </is>
      </c>
      <c r="CM2" s="3" t="inlineStr">
        <is>
          <t>EXC US Equity</t>
        </is>
      </c>
      <c r="DQ2" s="3" t="inlineStr">
        <is>
          <t>BDX US Equity</t>
        </is>
      </c>
      <c r="EU2" s="3" t="inlineStr">
        <is>
          <t>TTWO US Equity</t>
        </is>
      </c>
      <c r="FY2" s="3" t="inlineStr">
        <is>
          <t>SO US Equity</t>
        </is>
      </c>
      <c r="HC2" s="3" t="inlineStr">
        <is>
          <t>BAX US Equity</t>
        </is>
      </c>
      <c r="IG2" s="3" t="inlineStr">
        <is>
          <t>JNJ US Equity</t>
        </is>
      </c>
      <c r="JK2" s="3" t="inlineStr">
        <is>
          <t>MO US Equity</t>
        </is>
      </c>
      <c r="KO2" s="3" t="inlineStr">
        <is>
          <t>nan Equity</t>
        </is>
      </c>
      <c r="LS2" s="3" t="inlineStr">
        <is>
          <t>nan Equity</t>
        </is>
      </c>
      <c r="MW2" s="3" t="inlineStr">
        <is>
          <t>WY US Equity</t>
        </is>
      </c>
      <c r="OA2" s="3" t="inlineStr">
        <is>
          <t>TRGP US Equity</t>
        </is>
      </c>
      <c r="PE2" s="3" t="inlineStr">
        <is>
          <t>TMO US Equity</t>
        </is>
      </c>
      <c r="QI2" s="3" t="inlineStr">
        <is>
          <t>BPYU US Equity</t>
        </is>
      </c>
      <c r="RM2" s="3" t="inlineStr">
        <is>
          <t>CVS US Equity</t>
        </is>
      </c>
      <c r="SQ2" s="3" t="inlineStr">
        <is>
          <t>SHW US Equity</t>
        </is>
      </c>
      <c r="TU2" s="3" t="inlineStr">
        <is>
          <t>TWO US Equity</t>
        </is>
      </c>
      <c r="UY2" s="3" t="inlineStr">
        <is>
          <t>TT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BDS("1312089D US Equity","SUPPLY_CHAIN_SUPPLIERS_FULL_DATA")</f>
        <v/>
      </c>
      <c r="O5">
        <f>BDS("1312089D US Equity","SUPPLY_CHAIN_CUSTOMERS_FULL_DATA")</f>
        <v/>
      </c>
      <c r="AE5">
        <f>BDS("SLB US Equity","SUPPLY_CHAIN_SUPPLIERS_FULL_DATA")</f>
        <v/>
      </c>
      <c r="AS5">
        <f>BDS("SLB US Equity","SUPPLY_CHAIN_CUSTOMERS_FULL_DATA")</f>
        <v/>
      </c>
      <c r="BI5">
        <f>BDS("PLD US Equity","SUPPLY_CHAIN_SUPPLIERS_FULL_DATA")</f>
        <v/>
      </c>
      <c r="BW5">
        <f>BDS("PLD US Equity","SUPPLY_CHAIN_CUSTOMERS_FULL_DATA")</f>
        <v/>
      </c>
      <c r="CM5">
        <f>BDS("EXC US Equity","SUPPLY_CHAIN_SUPPLIERS_FULL_DATA")</f>
        <v/>
      </c>
      <c r="DA5">
        <f>BDS("EXC US Equity","SUPPLY_CHAIN_CUSTOMERS_FULL_DATA")</f>
        <v/>
      </c>
      <c r="DQ5">
        <f>BDS("BDX US Equity","SUPPLY_CHAIN_SUPPLIERS_FULL_DATA")</f>
        <v/>
      </c>
      <c r="EE5">
        <f>BDS("BDX US Equity","SUPPLY_CHAIN_CUSTOMERS_FULL_DATA")</f>
        <v/>
      </c>
      <c r="EU5">
        <f>BDS("TTWO US Equity","SUPPLY_CHAIN_SUPPLIERS_FULL_DATA")</f>
        <v/>
      </c>
      <c r="FI5">
        <f>BDS("TTWO US Equity","SUPPLY_CHAIN_CUSTOMERS_FULL_DATA")</f>
        <v/>
      </c>
      <c r="FY5">
        <f>BDS("SO US Equity","SUPPLY_CHAIN_SUPPLIERS_FULL_DATA")</f>
        <v/>
      </c>
      <c r="GM5">
        <f>BDS("SO US Equity","SUPPLY_CHAIN_CUSTOMERS_FULL_DATA")</f>
        <v/>
      </c>
      <c r="HC5">
        <f>BDS("BAX US Equity","SUPPLY_CHAIN_SUPPLIERS_FULL_DATA")</f>
        <v/>
      </c>
      <c r="HQ5">
        <f>BDS("BAX US Equity","SUPPLY_CHAIN_CUSTOMERS_FULL_DATA")</f>
        <v/>
      </c>
      <c r="IG5">
        <f>BDS("JNJ US Equity","SUPPLY_CHAIN_SUPPLIERS_FULL_DATA")</f>
        <v/>
      </c>
      <c r="IU5">
        <f>BDS("JNJ US Equity","SUPPLY_CHAIN_CUSTOMERS_FULL_DATA")</f>
        <v/>
      </c>
      <c r="JK5">
        <f>BDS("MO US Equity","SUPPLY_CHAIN_SUPPLIERS_FULL_DATA")</f>
        <v/>
      </c>
      <c r="JY5">
        <f>BDS("MO US Equity","SUPPLY_CHAIN_CUSTOMERS_FULL_DATA")</f>
        <v/>
      </c>
      <c r="KO5">
        <f>BDS("nan Equity","SUPPLY_CHAIN_SUPPLIERS_FULL_DATA")</f>
        <v/>
      </c>
      <c r="LC5">
        <f>BDS("nan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BDS("WY US Equity","SUPPLY_CHAIN_SUPPLIERS_FULL_DATA")</f>
        <v/>
      </c>
      <c r="NK5">
        <f>BDS("WY US Equity","SUPPLY_CHAIN_CUSTOMERS_FULL_DATA")</f>
        <v/>
      </c>
      <c r="OA5">
        <f>BDS("TRGP US Equity","SUPPLY_CHAIN_SUPPLIERS_FULL_DATA")</f>
        <v/>
      </c>
      <c r="OO5">
        <f>BDS("TRGP US Equity","SUPPLY_CHAIN_CUSTOMERS_FULL_DATA")</f>
        <v/>
      </c>
      <c r="PE5">
        <f>BDS("TMO US Equity","SUPPLY_CHAIN_SUPPLIERS_FULL_DATA")</f>
        <v/>
      </c>
      <c r="PS5">
        <f>BDS("TMO US Equity","SUPPLY_CHAIN_CUSTOMERS_FULL_DATA")</f>
        <v/>
      </c>
      <c r="QI5">
        <f>BDS("BPYU US Equity","SUPPLY_CHAIN_SUPPLIERS_FULL_DATA")</f>
        <v/>
      </c>
      <c r="QW5">
        <f>BDS("BPYU US Equity","SUPPLY_CHAIN_CUSTOMERS_FULL_DATA")</f>
        <v/>
      </c>
      <c r="RM5">
        <f>BDS("CVS US Equity","SUPPLY_CHAIN_SUPPLIERS_FULL_DATA")</f>
        <v/>
      </c>
      <c r="SA5">
        <f>BDS("CVS US Equity","SUPPLY_CHAIN_CUSTOMERS_FULL_DATA")</f>
        <v/>
      </c>
      <c r="SQ5">
        <f>BDS("SHW US Equity","SUPPLY_CHAIN_SUPPLIERS_FULL_DATA")</f>
        <v/>
      </c>
      <c r="TE5">
        <f>BDS("SHW US Equity","SUPPLY_CHAIN_CUSTOMERS_FULL_DATA")</f>
        <v/>
      </c>
      <c r="TU5">
        <f>BDS("TWO US Equity","SUPPLY_CHAIN_SUPPLIERS_FULL_DATA")</f>
        <v/>
      </c>
      <c r="UI5">
        <f>BDS("TWO US Equity","SUPPLY_CHAIN_CUSTOMERS_FULL_DATA")</f>
        <v/>
      </c>
      <c r="UY5">
        <f>BDS("TT US Equity","SUPPLY_CHAIN_SUPPLIERS_FULL_DATA")</f>
        <v/>
      </c>
      <c r="VM5">
        <f>BDS("TT US Equity","SUPPLY_CHAIN_CUSTOMERS_FULL_DATA")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1825471D US Equity</t>
        </is>
      </c>
      <c r="AE2" s="3" t="inlineStr">
        <is>
          <t>HD US Equity</t>
        </is>
      </c>
      <c r="BI2" s="3" t="inlineStr">
        <is>
          <t>USB US Equity</t>
        </is>
      </c>
      <c r="CM2" s="3" t="inlineStr">
        <is>
          <t>BMY US Equity</t>
        </is>
      </c>
      <c r="DQ2" s="3" t="inlineStr">
        <is>
          <t>PFE US Equity</t>
        </is>
      </c>
      <c r="EU2" s="3" t="inlineStr">
        <is>
          <t>MRK US Equity</t>
        </is>
      </c>
      <c r="FY2" s="3" t="inlineStr">
        <is>
          <t>LBRDA US Equity</t>
        </is>
      </c>
      <c r="HC2" s="3" t="inlineStr">
        <is>
          <t>FE US Equity</t>
        </is>
      </c>
      <c r="IG2" s="3" t="inlineStr">
        <is>
          <t>CAG US Equity</t>
        </is>
      </c>
      <c r="JK2" s="3" t="inlineStr">
        <is>
          <t>KMI US Equity</t>
        </is>
      </c>
      <c r="KO2" s="3" t="inlineStr">
        <is>
          <t>GILD US Equity</t>
        </is>
      </c>
      <c r="LS2" s="3" t="inlineStr">
        <is>
          <t>nan Equity</t>
        </is>
      </c>
      <c r="MW2" s="3" t="inlineStr">
        <is>
          <t>VST US Equity</t>
        </is>
      </c>
      <c r="OA2" s="3" t="inlineStr">
        <is>
          <t>653707Q US Equity</t>
        </is>
      </c>
      <c r="PE2" s="3" t="inlineStr">
        <is>
          <t>PFE US Equity</t>
        </is>
      </c>
      <c r="QI2" s="3" t="inlineStr">
        <is>
          <t>680884Q US Equity</t>
        </is>
      </c>
      <c r="RM2" s="3" t="inlineStr">
        <is>
          <t>MS US Equity</t>
        </is>
      </c>
      <c r="SQ2" s="3" t="inlineStr">
        <is>
          <t>nan Equity</t>
        </is>
      </c>
      <c r="TU2" s="3" t="inlineStr">
        <is>
          <t>BRK/A US Equity</t>
        </is>
      </c>
      <c r="UY2" s="3" t="inlineStr">
        <is>
          <t>ICE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BDS("1825471D US Equity","SUPPLY_CHAIN_SUPPLIERS_FULL_DATA")</f>
        <v/>
      </c>
      <c r="O5">
        <f>BDS("1825471D US Equity","SUPPLY_CHAIN_CUSTOMERS_FULL_DATA")</f>
        <v/>
      </c>
      <c r="AE5">
        <f>BDS("HD US Equity","SUPPLY_CHAIN_SUPPLIERS_FULL_DATA")</f>
        <v/>
      </c>
      <c r="AS5">
        <f>BDS("HD US Equity","SUPPLY_CHAIN_CUSTOMERS_FULL_DATA")</f>
        <v/>
      </c>
      <c r="BI5">
        <f>BDS("USB US Equity","SUPPLY_CHAIN_SUPPLIERS_FULL_DATA")</f>
        <v/>
      </c>
      <c r="BW5">
        <f>BDS("USB US Equity","SUPPLY_CHAIN_CUSTOMERS_FULL_DATA")</f>
        <v/>
      </c>
      <c r="CM5">
        <f>BDS("BMY US Equity","SUPPLY_CHAIN_SUPPLIERS_FULL_DATA")</f>
        <v/>
      </c>
      <c r="DA5">
        <f>BDS("BMY US Equity","SUPPLY_CHAIN_CUSTOMERS_FULL_DATA")</f>
        <v/>
      </c>
      <c r="DQ5">
        <f>BDS("PFE US Equity","SUPPLY_CHAIN_SUPPLIERS_FULL_DATA")</f>
        <v/>
      </c>
      <c r="EE5">
        <f>BDS("PFE US Equity","SUPPLY_CHAIN_CUSTOMERS_FULL_DATA")</f>
        <v/>
      </c>
      <c r="EU5">
        <f>BDS("MRK US Equity","SUPPLY_CHAIN_SUPPLIERS_FULL_DATA")</f>
        <v/>
      </c>
      <c r="FI5">
        <f>BDS("MRK US Equity","SUPPLY_CHAIN_CUSTOMERS_FULL_DATA")</f>
        <v/>
      </c>
      <c r="FY5">
        <f>BDS("LBRDA US Equity","SUPPLY_CHAIN_SUPPLIERS_FULL_DATA")</f>
        <v/>
      </c>
      <c r="GM5">
        <f>BDS("LBRDA US Equity","SUPPLY_CHAIN_CUSTOMERS_FULL_DATA")</f>
        <v/>
      </c>
      <c r="HC5">
        <f>BDS("FE US Equity","SUPPLY_CHAIN_SUPPLIERS_FULL_DATA")</f>
        <v/>
      </c>
      <c r="HQ5">
        <f>BDS("FE US Equity","SUPPLY_CHAIN_CUSTOMERS_FULL_DATA")</f>
        <v/>
      </c>
      <c r="IG5">
        <f>BDS("CAG US Equity","SUPPLY_CHAIN_SUPPLIERS_FULL_DATA")</f>
        <v/>
      </c>
      <c r="IU5">
        <f>BDS("CAG US Equity","SUPPLY_CHAIN_CUSTOMERS_FULL_DATA")</f>
        <v/>
      </c>
      <c r="JK5">
        <f>BDS("KMI US Equity","SUPPLY_CHAIN_SUPPLIERS_FULL_DATA")</f>
        <v/>
      </c>
      <c r="JY5">
        <f>BDS("KMI US Equity","SUPPLY_CHAIN_CUSTOMERS_FULL_DATA")</f>
        <v/>
      </c>
      <c r="KO5">
        <f>BDS("GILD US Equity","SUPPLY_CHAIN_SUPPLIERS_FULL_DATA")</f>
        <v/>
      </c>
      <c r="LC5">
        <f>BDS("GILD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BDS("VST US Equity","SUPPLY_CHAIN_SUPPLIERS_FULL_DATA")</f>
        <v/>
      </c>
      <c r="NK5">
        <f>BDS("VST US Equity","SUPPLY_CHAIN_CUSTOMERS_FULL_DATA")</f>
        <v/>
      </c>
      <c r="OA5">
        <f>BDS("653707Q US Equity","SUPPLY_CHAIN_SUPPLIERS_FULL_DATA")</f>
        <v/>
      </c>
      <c r="OO5">
        <f>BDS("653707Q US Equity","SUPPLY_CHAIN_CUSTOMERS_FULL_DATA")</f>
        <v/>
      </c>
      <c r="PE5">
        <f>BDS("PFE US Equity","SUPPLY_CHAIN_SUPPLIERS_FULL_DATA")</f>
        <v/>
      </c>
      <c r="PS5">
        <f>BDS("PFE US Equity","SUPPLY_CHAIN_CUSTOMERS_FULL_DATA")</f>
        <v/>
      </c>
      <c r="QI5">
        <f>BDS("680884Q US Equity","SUPPLY_CHAIN_SUPPLIERS_FULL_DATA")</f>
        <v/>
      </c>
      <c r="QW5">
        <f>BDS("680884Q US Equity","SUPPLY_CHAIN_CUSTOMERS_FULL_DATA")</f>
        <v/>
      </c>
      <c r="RM5">
        <f>BDS("MS US Equity","SUPPLY_CHAIN_SUPPLIERS_FULL_DATA")</f>
        <v/>
      </c>
      <c r="SA5">
        <f>BDS("MS US Equity","SUPPLY_CHAIN_CUSTOMERS_FULL_DATA")</f>
        <v/>
      </c>
      <c r="SQ5">
        <f>BDS("nan Equity","SUPPLY_CHAIN_SUPPLIERS_FULL_DATA")</f>
        <v/>
      </c>
      <c r="TE5">
        <f>BDS("nan Equity","SUPPLY_CHAIN_CUSTOMERS_FULL_DATA")</f>
        <v/>
      </c>
      <c r="TU5">
        <f>BDS("BRK/A US Equity","SUPPLY_CHAIN_SUPPLIERS_FULL_DATA")</f>
        <v/>
      </c>
      <c r="UI5">
        <f>BDS("BRK/A US Equity","SUPPLY_CHAIN_CUSTOMERS_FULL_DATA")</f>
        <v/>
      </c>
      <c r="UY5">
        <f>BDS("ICE US Equity","SUPPLY_CHAIN_SUPPLIERS_FULL_DATA")</f>
        <v/>
      </c>
      <c r="VM5">
        <f>BDS("ICE US Equity","SUPPLY_CHAIN_CUSTOMERS_FULL_DATA")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355488Q US Equity</t>
        </is>
      </c>
      <c r="AE2" s="3" t="inlineStr">
        <is>
          <t>KMI US Equity</t>
        </is>
      </c>
      <c r="BI2" s="3" t="inlineStr">
        <is>
          <t>AMZN US Equity</t>
        </is>
      </c>
      <c r="CM2" s="3" t="inlineStr">
        <is>
          <t>ENLC US Equity</t>
        </is>
      </c>
      <c r="DQ2" s="3" t="inlineStr">
        <is>
          <t>MPLX US Equity</t>
        </is>
      </c>
      <c r="EU2" s="3" t="inlineStr">
        <is>
          <t>FCX US Equity</t>
        </is>
      </c>
      <c r="FY2" s="3" t="inlineStr">
        <is>
          <t>RF US Equity</t>
        </is>
      </c>
      <c r="HC2" s="3" t="inlineStr">
        <is>
          <t>EXC US Equity</t>
        </is>
      </c>
      <c r="IG2" s="3" t="inlineStr">
        <is>
          <t>GILD US Equity</t>
        </is>
      </c>
      <c r="JK2" s="3" t="inlineStr">
        <is>
          <t>DBRG US Equity</t>
        </is>
      </c>
      <c r="KO2" s="3" t="inlineStr">
        <is>
          <t>PEP US Equity</t>
        </is>
      </c>
      <c r="LS2" s="3" t="inlineStr">
        <is>
          <t>1377Q US Equity</t>
        </is>
      </c>
      <c r="MW2" s="3" t="inlineStr">
        <is>
          <t>WMB US Equity</t>
        </is>
      </c>
      <c r="OA2" s="3" t="inlineStr">
        <is>
          <t>AW US Equity</t>
        </is>
      </c>
      <c r="PE2" s="3" t="inlineStr">
        <is>
          <t>IP US Equity</t>
        </is>
      </c>
      <c r="QI2" s="3" t="inlineStr">
        <is>
          <t>VER US Equity</t>
        </is>
      </c>
      <c r="RM2" s="3" t="inlineStr">
        <is>
          <t>MCHP US Equity</t>
        </is>
      </c>
      <c r="SQ2" s="3" t="inlineStr">
        <is>
          <t>2499073D US Equity</t>
        </is>
      </c>
      <c r="TU2" s="3" t="inlineStr">
        <is>
          <t>RHDCQ US Equity</t>
        </is>
      </c>
      <c r="UY2" s="3" t="inlineStr">
        <is>
          <t>1813626D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BDS("355488Q US Equity","SUPPLY_CHAIN_SUPPLIERS_FULL_DATA")</f>
        <v/>
      </c>
      <c r="O5">
        <f>BDS("355488Q US Equity","SUPPLY_CHAIN_CUSTOMERS_FULL_DATA")</f>
        <v/>
      </c>
      <c r="AE5">
        <f>BDS("KMI US Equity","SUPPLY_CHAIN_SUPPLIERS_FULL_DATA")</f>
        <v/>
      </c>
      <c r="AS5">
        <f>BDS("KMI US Equity","SUPPLY_CHAIN_CUSTOMERS_FULL_DATA")</f>
        <v/>
      </c>
      <c r="BI5">
        <f>BDS("AMZN US Equity","SUPPLY_CHAIN_SUPPLIERS_FULL_DATA")</f>
        <v/>
      </c>
      <c r="BW5">
        <f>BDS("AMZN US Equity","SUPPLY_CHAIN_CUSTOMERS_FULL_DATA")</f>
        <v/>
      </c>
      <c r="CM5">
        <f>BDS("ENLC US Equity","SUPPLY_CHAIN_SUPPLIERS_FULL_DATA")</f>
        <v/>
      </c>
      <c r="DA5">
        <f>BDS("ENLC US Equity","SUPPLY_CHAIN_CUSTOMERS_FULL_DATA")</f>
        <v/>
      </c>
      <c r="DQ5">
        <f>BDS("MPLX US Equity","SUPPLY_CHAIN_SUPPLIERS_FULL_DATA")</f>
        <v/>
      </c>
      <c r="EE5">
        <f>BDS("MPLX US Equity","SUPPLY_CHAIN_CUSTOMERS_FULL_DATA")</f>
        <v/>
      </c>
      <c r="EU5">
        <f>BDS("FCX US Equity","SUPPLY_CHAIN_SUPPLIERS_FULL_DATA")</f>
        <v/>
      </c>
      <c r="FI5">
        <f>BDS("FCX US Equity","SUPPLY_CHAIN_CUSTOMERS_FULL_DATA")</f>
        <v/>
      </c>
      <c r="FY5">
        <f>BDS("RF US Equity","SUPPLY_CHAIN_SUPPLIERS_FULL_DATA")</f>
        <v/>
      </c>
      <c r="GM5">
        <f>BDS("RF US Equity","SUPPLY_CHAIN_CUSTOMERS_FULL_DATA")</f>
        <v/>
      </c>
      <c r="HC5">
        <f>BDS("EXC US Equity","SUPPLY_CHAIN_SUPPLIERS_FULL_DATA")</f>
        <v/>
      </c>
      <c r="HQ5">
        <f>BDS("EXC US Equity","SUPPLY_CHAIN_CUSTOMERS_FULL_DATA")</f>
        <v/>
      </c>
      <c r="IG5">
        <f>BDS("GILD US Equity","SUPPLY_CHAIN_SUPPLIERS_FULL_DATA")</f>
        <v/>
      </c>
      <c r="IU5">
        <f>BDS("GILD US Equity","SUPPLY_CHAIN_CUSTOMERS_FULL_DATA")</f>
        <v/>
      </c>
      <c r="JK5">
        <f>BDS("DBRG US Equity","SUPPLY_CHAIN_SUPPLIERS_FULL_DATA")</f>
        <v/>
      </c>
      <c r="JY5">
        <f>BDS("DBRG US Equity","SUPPLY_CHAIN_CUSTOMERS_FULL_DATA")</f>
        <v/>
      </c>
      <c r="KO5">
        <f>BDS("PEP US Equity","SUPPLY_CHAIN_SUPPLIERS_FULL_DATA")</f>
        <v/>
      </c>
      <c r="LC5">
        <f>BDS("PEP US Equity","SUPPLY_CHAIN_CUSTOMERS_FULL_DATA")</f>
        <v/>
      </c>
      <c r="LS5">
        <f>BDS("1377Q US Equity","SUPPLY_CHAIN_SUPPLIERS_FULL_DATA")</f>
        <v/>
      </c>
      <c r="MG5">
        <f>BDS("1377Q US Equity","SUPPLY_CHAIN_CUSTOMERS_FULL_DATA")</f>
        <v/>
      </c>
      <c r="MW5">
        <f>BDS("WMB US Equity","SUPPLY_CHAIN_SUPPLIERS_FULL_DATA")</f>
        <v/>
      </c>
      <c r="NK5">
        <f>BDS("WMB US Equity","SUPPLY_CHAIN_CUSTOMERS_FULL_DATA")</f>
        <v/>
      </c>
      <c r="OA5">
        <f>BDS("AW US Equity","SUPPLY_CHAIN_SUPPLIERS_FULL_DATA")</f>
        <v/>
      </c>
      <c r="OO5">
        <f>BDS("AW US Equity","SUPPLY_CHAIN_CUSTOMERS_FULL_DATA")</f>
        <v/>
      </c>
      <c r="PE5">
        <f>BDS("IP US Equity","SUPPLY_CHAIN_SUPPLIERS_FULL_DATA")</f>
        <v/>
      </c>
      <c r="PS5">
        <f>BDS("IP US Equity","SUPPLY_CHAIN_CUSTOMERS_FULL_DATA")</f>
        <v/>
      </c>
      <c r="QI5">
        <f>BDS("VER US Equity","SUPPLY_CHAIN_SUPPLIERS_FULL_DATA")</f>
        <v/>
      </c>
      <c r="QW5">
        <f>BDS("VER US Equity","SUPPLY_CHAIN_CUSTOMERS_FULL_DATA")</f>
        <v/>
      </c>
      <c r="RM5">
        <f>BDS("MCHP US Equity","SUPPLY_CHAIN_SUPPLIERS_FULL_DATA")</f>
        <v/>
      </c>
      <c r="SA5">
        <f>BDS("MCHP US Equity","SUPPLY_CHAIN_CUSTOMERS_FULL_DATA")</f>
        <v/>
      </c>
      <c r="SQ5">
        <f>BDS("2499073D US Equity","SUPPLY_CHAIN_SUPPLIERS_FULL_DATA")</f>
        <v/>
      </c>
      <c r="TE5">
        <f>BDS("2499073D US Equity","SUPPLY_CHAIN_CUSTOMERS_FULL_DATA")</f>
        <v/>
      </c>
      <c r="TU5">
        <f>BDS("RHDCQ US Equity","SUPPLY_CHAIN_SUPPLIERS_FULL_DATA")</f>
        <v/>
      </c>
      <c r="UI5">
        <f>BDS("RHDCQ US Equity","SUPPLY_CHAIN_CUSTOMERS_FULL_DATA")</f>
        <v/>
      </c>
      <c r="UY5">
        <f>BDS("1813626D US Equity","SUPPLY_CHAIN_SUPPLIERS_FULL_DATA")</f>
        <v/>
      </c>
      <c r="VM5">
        <f>BDS("1813626D US Equity","SUPPLY_CHAIN_CUSTOMERS_FULL_DATA")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GD US Equity</t>
        </is>
      </c>
      <c r="AE2" s="3" t="inlineStr">
        <is>
          <t>CME US Equity</t>
        </is>
      </c>
      <c r="BI2" s="3" t="inlineStr">
        <is>
          <t>MSI US Equity</t>
        </is>
      </c>
      <c r="CM2" s="3" t="inlineStr">
        <is>
          <t>AMT US Equity</t>
        </is>
      </c>
      <c r="DQ2" s="3" t="inlineStr">
        <is>
          <t>HET US Equity</t>
        </is>
      </c>
      <c r="EU2" s="3" t="inlineStr">
        <is>
          <t>WES US Equity</t>
        </is>
      </c>
      <c r="FY2" s="3" t="inlineStr">
        <is>
          <t>GEN US Equity</t>
        </is>
      </c>
      <c r="HC2" s="3" t="inlineStr">
        <is>
          <t>ET US Equity</t>
        </is>
      </c>
      <c r="IG2" s="3" t="inlineStr">
        <is>
          <t>LEN US Equity</t>
        </is>
      </c>
      <c r="JK2" s="3" t="inlineStr">
        <is>
          <t>BRK/A US Equity</t>
        </is>
      </c>
      <c r="KO2" s="3" t="inlineStr">
        <is>
          <t>FE US Equity</t>
        </is>
      </c>
      <c r="LS2" s="3" t="inlineStr">
        <is>
          <t>CXO US Equity</t>
        </is>
      </c>
      <c r="MW2" s="3" t="inlineStr">
        <is>
          <t>FANG US Equity</t>
        </is>
      </c>
      <c r="OA2" s="3" t="inlineStr">
        <is>
          <t>BRK/A US Equity</t>
        </is>
      </c>
      <c r="PE2" s="3" t="inlineStr">
        <is>
          <t>nan Equity</t>
        </is>
      </c>
      <c r="QI2" s="3" t="inlineStr">
        <is>
          <t>2370058D US Equity</t>
        </is>
      </c>
      <c r="RM2" s="3" t="inlineStr">
        <is>
          <t>DLTR US Equity</t>
        </is>
      </c>
      <c r="SQ2" s="3" t="inlineStr">
        <is>
          <t>WEC US Equity</t>
        </is>
      </c>
      <c r="TU2" s="3" t="inlineStr">
        <is>
          <t>EPD US Equity</t>
        </is>
      </c>
      <c r="UY2" s="3" t="inlineStr">
        <is>
          <t>CTRA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BDS("GD US Equity","SUPPLY_CHAIN_SUPPLIERS_FULL_DATA")</f>
        <v/>
      </c>
      <c r="O5">
        <f>BDS("GD US Equity","SUPPLY_CHAIN_CUSTOMERS_FULL_DATA")</f>
        <v/>
      </c>
      <c r="AE5">
        <f>BDS("CME US Equity","SUPPLY_CHAIN_SUPPLIERS_FULL_DATA")</f>
        <v/>
      </c>
      <c r="AS5">
        <f>BDS("CME US Equity","SUPPLY_CHAIN_CUSTOMERS_FULL_DATA")</f>
        <v/>
      </c>
      <c r="BI5">
        <f>BDS("MSI US Equity","SUPPLY_CHAIN_SUPPLIERS_FULL_DATA")</f>
        <v/>
      </c>
      <c r="BW5">
        <f>BDS("MSI US Equity","SUPPLY_CHAIN_CUSTOMERS_FULL_DATA")</f>
        <v/>
      </c>
      <c r="CM5">
        <f>BDS("AMT US Equity","SUPPLY_CHAIN_SUPPLIERS_FULL_DATA")</f>
        <v/>
      </c>
      <c r="DA5">
        <f>BDS("AMT US Equity","SUPPLY_CHAIN_CUSTOMERS_FULL_DATA")</f>
        <v/>
      </c>
      <c r="DQ5">
        <f>BDS("HET US Equity","SUPPLY_CHAIN_SUPPLIERS_FULL_DATA")</f>
        <v/>
      </c>
      <c r="EE5">
        <f>BDS("HET US Equity","SUPPLY_CHAIN_CUSTOMERS_FULL_DATA")</f>
        <v/>
      </c>
      <c r="EU5">
        <f>BDS("WES US Equity","SUPPLY_CHAIN_SUPPLIERS_FULL_DATA")</f>
        <v/>
      </c>
      <c r="FI5">
        <f>BDS("WES US Equity","SUPPLY_CHAIN_CUSTOMERS_FULL_DATA")</f>
        <v/>
      </c>
      <c r="FY5">
        <f>BDS("GEN US Equity","SUPPLY_CHAIN_SUPPLIERS_FULL_DATA")</f>
        <v/>
      </c>
      <c r="GM5">
        <f>BDS("GEN US Equity","SUPPLY_CHAIN_CUSTOMERS_FULL_DATA")</f>
        <v/>
      </c>
      <c r="HC5">
        <f>BDS("ET US Equity","SUPPLY_CHAIN_SUPPLIERS_FULL_DATA")</f>
        <v/>
      </c>
      <c r="HQ5">
        <f>BDS("ET US Equity","SUPPLY_CHAIN_CUSTOMERS_FULL_DATA")</f>
        <v/>
      </c>
      <c r="IG5">
        <f>BDS("LEN US Equity","SUPPLY_CHAIN_SUPPLIERS_FULL_DATA")</f>
        <v/>
      </c>
      <c r="IU5">
        <f>BDS("LEN US Equity","SUPPLY_CHAIN_CUSTOMERS_FULL_DATA")</f>
        <v/>
      </c>
      <c r="JK5">
        <f>BDS("BRK/A US Equity","SUPPLY_CHAIN_SUPPLIERS_FULL_DATA")</f>
        <v/>
      </c>
      <c r="JY5">
        <f>BDS("BRK/A US Equity","SUPPLY_CHAIN_CUSTOMERS_FULL_DATA")</f>
        <v/>
      </c>
      <c r="KO5">
        <f>BDS("FE US Equity","SUPPLY_CHAIN_SUPPLIERS_FULL_DATA")</f>
        <v/>
      </c>
      <c r="LC5">
        <f>BDS("FE US Equity","SUPPLY_CHAIN_CUSTOMERS_FULL_DATA")</f>
        <v/>
      </c>
      <c r="LS5">
        <f>BDS("CXO US Equity","SUPPLY_CHAIN_SUPPLIERS_FULL_DATA")</f>
        <v/>
      </c>
      <c r="MG5">
        <f>BDS("CXO US Equity","SUPPLY_CHAIN_CUSTOMERS_FULL_DATA")</f>
        <v/>
      </c>
      <c r="MW5">
        <f>BDS("FANG US Equity","SUPPLY_CHAIN_SUPPLIERS_FULL_DATA")</f>
        <v/>
      </c>
      <c r="NK5">
        <f>BDS("FANG US Equity","SUPPLY_CHAIN_CUSTOMERS_FULL_DATA")</f>
        <v/>
      </c>
      <c r="OA5">
        <f>BDS("BRK/A US Equity","SUPPLY_CHAIN_SUPPLIERS_FULL_DATA")</f>
        <v/>
      </c>
      <c r="OO5">
        <f>BDS("BRK/A US Equity","SUPPLY_CHAIN_CUSTOMERS_FULL_DATA")</f>
        <v/>
      </c>
      <c r="PE5">
        <f>BDS("nan Equity","SUPPLY_CHAIN_SUPPLIERS_FULL_DATA")</f>
        <v/>
      </c>
      <c r="PS5">
        <f>BDS("nan Equity","SUPPLY_CHAIN_CUSTOMERS_FULL_DATA")</f>
        <v/>
      </c>
      <c r="QI5">
        <f>BDS("2370058D US Equity","SUPPLY_CHAIN_SUPPLIERS_FULL_DATA")</f>
        <v/>
      </c>
      <c r="QW5">
        <f>BDS("2370058D US Equity","SUPPLY_CHAIN_CUSTOMERS_FULL_DATA")</f>
        <v/>
      </c>
      <c r="RM5">
        <f>BDS("DLTR US Equity","SUPPLY_CHAIN_SUPPLIERS_FULL_DATA")</f>
        <v/>
      </c>
      <c r="SA5">
        <f>BDS("DLTR US Equity","SUPPLY_CHAIN_CUSTOMERS_FULL_DATA")</f>
        <v/>
      </c>
      <c r="SQ5">
        <f>BDS("WEC US Equity","SUPPLY_CHAIN_SUPPLIERS_FULL_DATA")</f>
        <v/>
      </c>
      <c r="TE5">
        <f>BDS("WEC US Equity","SUPPLY_CHAIN_CUSTOMERS_FULL_DATA")</f>
        <v/>
      </c>
      <c r="TU5">
        <f>BDS("EPD US Equity","SUPPLY_CHAIN_SUPPLIERS_FULL_DATA")</f>
        <v/>
      </c>
      <c r="UI5">
        <f>BDS("EPD US Equity","SUPPLY_CHAIN_CUSTOMERS_FULL_DATA")</f>
        <v/>
      </c>
      <c r="UY5">
        <f>BDS("CTRA US Equity","SUPPLY_CHAIN_SUPPLIERS_FULL_DATA")</f>
        <v/>
      </c>
      <c r="VM5">
        <f>BDS("CTRA US Equity","SUPPLY_CHAIN_CUSTOMERS_FULL_DATA")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MRVL US Equity</t>
        </is>
      </c>
      <c r="AE2" s="3" t="inlineStr">
        <is>
          <t>EVRG US Equity</t>
        </is>
      </c>
      <c r="BI2" s="3" t="inlineStr">
        <is>
          <t>nan Equity</t>
        </is>
      </c>
      <c r="CM2" s="3" t="inlineStr">
        <is>
          <t>ORCL US Equity</t>
        </is>
      </c>
      <c r="DQ2" s="3" t="inlineStr">
        <is>
          <t>45950Q US Equity</t>
        </is>
      </c>
      <c r="EU2" s="3" t="inlineStr">
        <is>
          <t>CAT US Equity</t>
        </is>
      </c>
      <c r="FY2" s="3" t="inlineStr">
        <is>
          <t>WAMUQ US Equity</t>
        </is>
      </c>
      <c r="HC2" s="3" t="inlineStr">
        <is>
          <t>AMGN US Equity</t>
        </is>
      </c>
      <c r="IG2" s="3" t="inlineStr">
        <is>
          <t>NI US Equity</t>
        </is>
      </c>
      <c r="JK2" s="3" t="inlineStr">
        <is>
          <t>D US Equity</t>
        </is>
      </c>
      <c r="KO2" s="3" t="inlineStr">
        <is>
          <t>ORCL US Equity</t>
        </is>
      </c>
      <c r="LS2" s="3" t="inlineStr">
        <is>
          <t>TSN US Equity</t>
        </is>
      </c>
      <c r="MW2" s="3" t="inlineStr">
        <is>
          <t>ANRZQ US Equity</t>
        </is>
      </c>
      <c r="OA2" s="3" t="inlineStr">
        <is>
          <t>MRK US Equity</t>
        </is>
      </c>
      <c r="PE2" s="3" t="inlineStr">
        <is>
          <t>WTW US Equity</t>
        </is>
      </c>
      <c r="QI2" s="3" t="inlineStr">
        <is>
          <t>HAL US Equity</t>
        </is>
      </c>
      <c r="RM2" s="3" t="inlineStr">
        <is>
          <t>BN CN Equity</t>
        </is>
      </c>
      <c r="SQ2" s="3" t="inlineStr">
        <is>
          <t>2727195Q US Equity</t>
        </is>
      </c>
      <c r="TU2" s="3" t="inlineStr">
        <is>
          <t>nan Equity</t>
        </is>
      </c>
      <c r="UY2" s="3" t="inlineStr">
        <is>
          <t>CNP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BDS("MRVL US Equity","SUPPLY_CHAIN_SUPPLIERS_FULL_DATA")</f>
        <v/>
      </c>
      <c r="O5">
        <f>BDS("MRVL US Equity","SUPPLY_CHAIN_CUSTOMERS_FULL_DATA")</f>
        <v/>
      </c>
      <c r="AE5">
        <f>BDS("EVRG US Equity","SUPPLY_CHAIN_SUPPLIERS_FULL_DATA")</f>
        <v/>
      </c>
      <c r="AS5">
        <f>BDS("EVRG US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BDS("ORCL US Equity","SUPPLY_CHAIN_SUPPLIERS_FULL_DATA")</f>
        <v/>
      </c>
      <c r="DA5">
        <f>BDS("ORCL US Equity","SUPPLY_CHAIN_CUSTOMERS_FULL_DATA")</f>
        <v/>
      </c>
      <c r="DQ5">
        <f>BDS("45950Q US Equity","SUPPLY_CHAIN_SUPPLIERS_FULL_DATA")</f>
        <v/>
      </c>
      <c r="EE5">
        <f>BDS("45950Q US Equity","SUPPLY_CHAIN_CUSTOMERS_FULL_DATA")</f>
        <v/>
      </c>
      <c r="EU5">
        <f>BDS("CAT US Equity","SUPPLY_CHAIN_SUPPLIERS_FULL_DATA")</f>
        <v/>
      </c>
      <c r="FI5">
        <f>BDS("CAT US Equity","SUPPLY_CHAIN_CUSTOMERS_FULL_DATA")</f>
        <v/>
      </c>
      <c r="FY5">
        <f>BDS("WAMUQ US Equity","SUPPLY_CHAIN_SUPPLIERS_FULL_DATA")</f>
        <v/>
      </c>
      <c r="GM5">
        <f>BDS("WAMUQ US Equity","SUPPLY_CHAIN_CUSTOMERS_FULL_DATA")</f>
        <v/>
      </c>
      <c r="HC5">
        <f>BDS("AMGN US Equity","SUPPLY_CHAIN_SUPPLIERS_FULL_DATA")</f>
        <v/>
      </c>
      <c r="HQ5">
        <f>BDS("AMGN US Equity","SUPPLY_CHAIN_CUSTOMERS_FULL_DATA")</f>
        <v/>
      </c>
      <c r="IG5">
        <f>BDS("NI US Equity","SUPPLY_CHAIN_SUPPLIERS_FULL_DATA")</f>
        <v/>
      </c>
      <c r="IU5">
        <f>BDS("NI US Equity","SUPPLY_CHAIN_CUSTOMERS_FULL_DATA")</f>
        <v/>
      </c>
      <c r="JK5">
        <f>BDS("D US Equity","SUPPLY_CHAIN_SUPPLIERS_FULL_DATA")</f>
        <v/>
      </c>
      <c r="JY5">
        <f>BDS("D US Equity","SUPPLY_CHAIN_CUSTOMERS_FULL_DATA")</f>
        <v/>
      </c>
      <c r="KO5">
        <f>BDS("ORCL US Equity","SUPPLY_CHAIN_SUPPLIERS_FULL_DATA")</f>
        <v/>
      </c>
      <c r="LC5">
        <f>BDS("ORCL US Equity","SUPPLY_CHAIN_CUSTOMERS_FULL_DATA")</f>
        <v/>
      </c>
      <c r="LS5">
        <f>BDS("TSN US Equity","SUPPLY_CHAIN_SUPPLIERS_FULL_DATA")</f>
        <v/>
      </c>
      <c r="MG5">
        <f>BDS("TSN US Equity","SUPPLY_CHAIN_CUSTOMERS_FULL_DATA")</f>
        <v/>
      </c>
      <c r="MW5">
        <f>BDS("ANRZQ US Equity","SUPPLY_CHAIN_SUPPLIERS_FULL_DATA")</f>
        <v/>
      </c>
      <c r="NK5">
        <f>BDS("ANRZQ US Equity","SUPPLY_CHAIN_CUSTOMERS_FULL_DATA")</f>
        <v/>
      </c>
      <c r="OA5">
        <f>BDS("MRK US Equity","SUPPLY_CHAIN_SUPPLIERS_FULL_DATA")</f>
        <v/>
      </c>
      <c r="OO5">
        <f>BDS("MRK US Equity","SUPPLY_CHAIN_CUSTOMERS_FULL_DATA")</f>
        <v/>
      </c>
      <c r="PE5">
        <f>BDS("WTW US Equity","SUPPLY_CHAIN_SUPPLIERS_FULL_DATA")</f>
        <v/>
      </c>
      <c r="PS5">
        <f>BDS("WTW US Equity","SUPPLY_CHAIN_CUSTOMERS_FULL_DATA")</f>
        <v/>
      </c>
      <c r="QI5">
        <f>BDS("HAL US Equity","SUPPLY_CHAIN_SUPPLIERS_FULL_DATA")</f>
        <v/>
      </c>
      <c r="QW5">
        <f>BDS("HAL US Equity","SUPPLY_CHAIN_CUSTOMERS_FULL_DATA")</f>
        <v/>
      </c>
      <c r="RM5">
        <f>BDS("BN CN Equity","SUPPLY_CHAIN_SUPPLIERS_FULL_DATA")</f>
        <v/>
      </c>
      <c r="SA5">
        <f>BDS("BN CN Equity","SUPPLY_CHAIN_CUSTOMERS_FULL_DATA")</f>
        <v/>
      </c>
      <c r="SQ5">
        <f>BDS("2727195Q US Equity","SUPPLY_CHAIN_SUPPLIERS_FULL_DATA")</f>
        <v/>
      </c>
      <c r="TE5">
        <f>BDS("2727195Q US Equity","SUPPLY_CHAIN_CUSTOMERS_FULL_DATA")</f>
        <v/>
      </c>
      <c r="TU5">
        <f>BDS("nan Equity","SUPPLY_CHAIN_SUPPLIERS_FULL_DATA")</f>
        <v/>
      </c>
      <c r="UI5">
        <f>BDS("nan Equity","SUPPLY_CHAIN_CUSTOMERS_FULL_DATA")</f>
        <v/>
      </c>
      <c r="UY5">
        <f>BDS("CNP US Equity","SUPPLY_CHAIN_SUPPLIERS_FULL_DATA")</f>
        <v/>
      </c>
      <c r="VM5">
        <f>BDS("CNP US Equity","SUPPLY_CHAIN_CUSTOMERS_FULL_DATA")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COL US Equity</t>
        </is>
      </c>
      <c r="AE2" s="3" t="inlineStr">
        <is>
          <t>ECL US Equity</t>
        </is>
      </c>
      <c r="BI2" s="3" t="inlineStr">
        <is>
          <t>NXST US Equity</t>
        </is>
      </c>
      <c r="CM2" s="3" t="inlineStr">
        <is>
          <t>0961514D US Equity</t>
        </is>
      </c>
      <c r="DQ2" s="3" t="inlineStr">
        <is>
          <t>PLD US Equity</t>
        </is>
      </c>
      <c r="EU2" s="3" t="inlineStr">
        <is>
          <t>ALXN US Equity</t>
        </is>
      </c>
      <c r="FY2" s="3" t="inlineStr">
        <is>
          <t>CELG US Equity</t>
        </is>
      </c>
      <c r="HC2" s="3" t="inlineStr">
        <is>
          <t>GIS US Equity</t>
        </is>
      </c>
      <c r="IG2" s="3" t="inlineStr">
        <is>
          <t>1260972D US Equity</t>
        </is>
      </c>
      <c r="JK2" s="3" t="inlineStr">
        <is>
          <t>INVH US Equity</t>
        </is>
      </c>
      <c r="KO2" s="3" t="inlineStr">
        <is>
          <t>AGN US Equity</t>
        </is>
      </c>
      <c r="LS2" s="3" t="inlineStr">
        <is>
          <t>VLO US Equity</t>
        </is>
      </c>
      <c r="MW2" s="3" t="inlineStr">
        <is>
          <t>GMST US Equity</t>
        </is>
      </c>
      <c r="OA2" s="3" t="inlineStr">
        <is>
          <t>NOC US Equity</t>
        </is>
      </c>
      <c r="PE2" s="3" t="inlineStr">
        <is>
          <t>WY US Equity</t>
        </is>
      </c>
      <c r="QI2" s="3" t="inlineStr">
        <is>
          <t>BX US Equity</t>
        </is>
      </c>
      <c r="RM2" s="3" t="inlineStr">
        <is>
          <t>MGM US Equity</t>
        </is>
      </c>
      <c r="SQ2" s="3" t="inlineStr">
        <is>
          <t>LNC US Equity</t>
        </is>
      </c>
      <c r="TU2" s="3" t="inlineStr">
        <is>
          <t>CME US Equity</t>
        </is>
      </c>
      <c r="UY2" s="3" t="inlineStr">
        <is>
          <t>RIG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BDS("COL US Equity","SUPPLY_CHAIN_SUPPLIERS_FULL_DATA")</f>
        <v/>
      </c>
      <c r="O5">
        <f>BDS("COL US Equity","SUPPLY_CHAIN_CUSTOMERS_FULL_DATA")</f>
        <v/>
      </c>
      <c r="AE5">
        <f>BDS("ECL US Equity","SUPPLY_CHAIN_SUPPLIERS_FULL_DATA")</f>
        <v/>
      </c>
      <c r="AS5">
        <f>BDS("ECL US Equity","SUPPLY_CHAIN_CUSTOMERS_FULL_DATA")</f>
        <v/>
      </c>
      <c r="BI5">
        <f>BDS("NXST US Equity","SUPPLY_CHAIN_SUPPLIERS_FULL_DATA")</f>
        <v/>
      </c>
      <c r="BW5">
        <f>BDS("NXST US Equity","SUPPLY_CHAIN_CUSTOMERS_FULL_DATA")</f>
        <v/>
      </c>
      <c r="CM5">
        <f>BDS("0961514D US Equity","SUPPLY_CHAIN_SUPPLIERS_FULL_DATA")</f>
        <v/>
      </c>
      <c r="DA5">
        <f>BDS("0961514D US Equity","SUPPLY_CHAIN_CUSTOMERS_FULL_DATA")</f>
        <v/>
      </c>
      <c r="DQ5">
        <f>BDS("PLD US Equity","SUPPLY_CHAIN_SUPPLIERS_FULL_DATA")</f>
        <v/>
      </c>
      <c r="EE5">
        <f>BDS("PLD US Equity","SUPPLY_CHAIN_CUSTOMERS_FULL_DATA")</f>
        <v/>
      </c>
      <c r="EU5">
        <f>BDS("ALXN US Equity","SUPPLY_CHAIN_SUPPLIERS_FULL_DATA")</f>
        <v/>
      </c>
      <c r="FI5">
        <f>BDS("ALXN US Equity","SUPPLY_CHAIN_CUSTOMERS_FULL_DATA")</f>
        <v/>
      </c>
      <c r="FY5">
        <f>BDS("CELG US Equity","SUPPLY_CHAIN_SUPPLIERS_FULL_DATA")</f>
        <v/>
      </c>
      <c r="GM5">
        <f>BDS("CELG US Equity","SUPPLY_CHAIN_CUSTOMERS_FULL_DATA")</f>
        <v/>
      </c>
      <c r="HC5">
        <f>BDS("GIS US Equity","SUPPLY_CHAIN_SUPPLIERS_FULL_DATA")</f>
        <v/>
      </c>
      <c r="HQ5">
        <f>BDS("GIS US Equity","SUPPLY_CHAIN_CUSTOMERS_FULL_DATA")</f>
        <v/>
      </c>
      <c r="IG5">
        <f>BDS("1260972D US Equity","SUPPLY_CHAIN_SUPPLIERS_FULL_DATA")</f>
        <v/>
      </c>
      <c r="IU5">
        <f>BDS("1260972D US Equity","SUPPLY_CHAIN_CUSTOMERS_FULL_DATA")</f>
        <v/>
      </c>
      <c r="JK5">
        <f>BDS("INVH US Equity","SUPPLY_CHAIN_SUPPLIERS_FULL_DATA")</f>
        <v/>
      </c>
      <c r="JY5">
        <f>BDS("INVH US Equity","SUPPLY_CHAIN_CUSTOMERS_FULL_DATA")</f>
        <v/>
      </c>
      <c r="KO5">
        <f>BDS("AGN US Equity","SUPPLY_CHAIN_SUPPLIERS_FULL_DATA")</f>
        <v/>
      </c>
      <c r="LC5">
        <f>BDS("AGN US Equity","SUPPLY_CHAIN_CUSTOMERS_FULL_DATA")</f>
        <v/>
      </c>
      <c r="LS5">
        <f>BDS("VLO US Equity","SUPPLY_CHAIN_SUPPLIERS_FULL_DATA")</f>
        <v/>
      </c>
      <c r="MG5">
        <f>BDS("VLO US Equity","SUPPLY_CHAIN_CUSTOMERS_FULL_DATA")</f>
        <v/>
      </c>
      <c r="MW5">
        <f>BDS("GMST US Equity","SUPPLY_CHAIN_SUPPLIERS_FULL_DATA")</f>
        <v/>
      </c>
      <c r="NK5">
        <f>BDS("GMST US Equity","SUPPLY_CHAIN_CUSTOMERS_FULL_DATA")</f>
        <v/>
      </c>
      <c r="OA5">
        <f>BDS("NOC US Equity","SUPPLY_CHAIN_SUPPLIERS_FULL_DATA")</f>
        <v/>
      </c>
      <c r="OO5">
        <f>BDS("NOC US Equity","SUPPLY_CHAIN_CUSTOMERS_FULL_DATA")</f>
        <v/>
      </c>
      <c r="PE5">
        <f>BDS("WY US Equity","SUPPLY_CHAIN_SUPPLIERS_FULL_DATA")</f>
        <v/>
      </c>
      <c r="PS5">
        <f>BDS("WY US Equity","SUPPLY_CHAIN_CUSTOMERS_FULL_DATA")</f>
        <v/>
      </c>
      <c r="QI5">
        <f>BDS("BX US Equity","SUPPLY_CHAIN_SUPPLIERS_FULL_DATA")</f>
        <v/>
      </c>
      <c r="QW5">
        <f>BDS("BX US Equity","SUPPLY_CHAIN_CUSTOMERS_FULL_DATA")</f>
        <v/>
      </c>
      <c r="RM5">
        <f>BDS("MGM US Equity","SUPPLY_CHAIN_SUPPLIERS_FULL_DATA")</f>
        <v/>
      </c>
      <c r="SA5">
        <f>BDS("MGM US Equity","SUPPLY_CHAIN_CUSTOMERS_FULL_DATA")</f>
        <v/>
      </c>
      <c r="SQ5">
        <f>BDS("LNC US Equity","SUPPLY_CHAIN_SUPPLIERS_FULL_DATA")</f>
        <v/>
      </c>
      <c r="TE5">
        <f>BDS("LNC US Equity","SUPPLY_CHAIN_CUSTOMERS_FULL_DATA")</f>
        <v/>
      </c>
      <c r="TU5">
        <f>BDS("CME US Equity","SUPPLY_CHAIN_SUPPLIERS_FULL_DATA")</f>
        <v/>
      </c>
      <c r="UI5">
        <f>BDS("CME US Equity","SUPPLY_CHAIN_CUSTOMERS_FULL_DATA")</f>
        <v/>
      </c>
      <c r="UY5">
        <f>BDS("RIG US Equity","SUPPLY_CHAIN_SUPPLIERS_FULL_DATA")</f>
        <v/>
      </c>
      <c r="VM5">
        <f>BDS("RIG US Equity","SUPPLY_CHAIN_CUSTOMERS_FULL_DATA")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ABT US Equity</t>
        </is>
      </c>
      <c r="AE2" s="3" t="inlineStr">
        <is>
          <t>TRB US Equity</t>
        </is>
      </c>
      <c r="BI2" s="3" t="inlineStr">
        <is>
          <t>AMSG US Equity</t>
        </is>
      </c>
      <c r="CM2" s="3" t="inlineStr">
        <is>
          <t>QDEL US Equity</t>
        </is>
      </c>
      <c r="DQ2" s="3" t="inlineStr">
        <is>
          <t>FDC US Equity</t>
        </is>
      </c>
      <c r="EU2" s="3" t="inlineStr">
        <is>
          <t>PXD US Equity</t>
        </is>
      </c>
      <c r="FY2" s="3" t="inlineStr">
        <is>
          <t>FBF US Equity</t>
        </is>
      </c>
      <c r="HC2" s="3" t="inlineStr">
        <is>
          <t>VISN US Equity</t>
        </is>
      </c>
      <c r="IG2" s="3" t="inlineStr">
        <is>
          <t>nan Equity</t>
        </is>
      </c>
      <c r="JK2" s="3" t="inlineStr">
        <is>
          <t>APO US Equity</t>
        </is>
      </c>
      <c r="KO2" s="3" t="inlineStr">
        <is>
          <t>BX US Equity</t>
        </is>
      </c>
      <c r="LS2" s="3" t="inlineStr">
        <is>
          <t>LVLT US Equity</t>
        </is>
      </c>
      <c r="MW2" s="3" t="inlineStr">
        <is>
          <t>EXC US Equity</t>
        </is>
      </c>
      <c r="OA2" s="3" t="inlineStr">
        <is>
          <t>ORCL US Equity</t>
        </is>
      </c>
      <c r="PE2" s="3" t="inlineStr">
        <is>
          <t>2370058D US Equity</t>
        </is>
      </c>
      <c r="QI2" s="3" t="inlineStr">
        <is>
          <t>TMO US Equity</t>
        </is>
      </c>
      <c r="RM2" s="3" t="inlineStr">
        <is>
          <t>UNH US Equity</t>
        </is>
      </c>
      <c r="SQ2" s="3" t="inlineStr">
        <is>
          <t>COHR US Equity</t>
        </is>
      </c>
      <c r="TU2" s="3" t="inlineStr">
        <is>
          <t>NOV US Equity</t>
        </is>
      </c>
      <c r="UY2" s="3" t="inlineStr">
        <is>
          <t>1255173D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BDS("ABT US Equity","SUPPLY_CHAIN_SUPPLIERS_FULL_DATA")</f>
        <v/>
      </c>
      <c r="O5">
        <f>BDS("ABT US Equity","SUPPLY_CHAIN_CUSTOMERS_FULL_DATA")</f>
        <v/>
      </c>
      <c r="AE5">
        <f>BDS("TRB US Equity","SUPPLY_CHAIN_SUPPLIERS_FULL_DATA")</f>
        <v/>
      </c>
      <c r="AS5">
        <f>BDS("TRB US Equity","SUPPLY_CHAIN_CUSTOMERS_FULL_DATA")</f>
        <v/>
      </c>
      <c r="BI5">
        <f>BDS("AMSG US Equity","SUPPLY_CHAIN_SUPPLIERS_FULL_DATA")</f>
        <v/>
      </c>
      <c r="BW5">
        <f>BDS("AMSG US Equity","SUPPLY_CHAIN_CUSTOMERS_FULL_DATA")</f>
        <v/>
      </c>
      <c r="CM5">
        <f>BDS("QDEL US Equity","SUPPLY_CHAIN_SUPPLIERS_FULL_DATA")</f>
        <v/>
      </c>
      <c r="DA5">
        <f>BDS("QDEL US Equity","SUPPLY_CHAIN_CUSTOMERS_FULL_DATA")</f>
        <v/>
      </c>
      <c r="DQ5">
        <f>BDS("FDC US Equity","SUPPLY_CHAIN_SUPPLIERS_FULL_DATA")</f>
        <v/>
      </c>
      <c r="EE5">
        <f>BDS("FDC US Equity","SUPPLY_CHAIN_CUSTOMERS_FULL_DATA")</f>
        <v/>
      </c>
      <c r="EU5">
        <f>BDS("PXD US Equity","SUPPLY_CHAIN_SUPPLIERS_FULL_DATA")</f>
        <v/>
      </c>
      <c r="FI5">
        <f>BDS("PXD US Equity","SUPPLY_CHAIN_CUSTOMERS_FULL_DATA")</f>
        <v/>
      </c>
      <c r="FY5">
        <f>BDS("FBF US Equity","SUPPLY_CHAIN_SUPPLIERS_FULL_DATA")</f>
        <v/>
      </c>
      <c r="GM5">
        <f>BDS("FBF US Equity","SUPPLY_CHAIN_CUSTOMERS_FULL_DATA")</f>
        <v/>
      </c>
      <c r="HC5">
        <f>BDS("VISN US Equity","SUPPLY_CHAIN_SUPPLIERS_FULL_DATA")</f>
        <v/>
      </c>
      <c r="HQ5">
        <f>BDS("VISN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BDS("APO US Equity","SUPPLY_CHAIN_SUPPLIERS_FULL_DATA")</f>
        <v/>
      </c>
      <c r="JY5">
        <f>BDS("APO US Equity","SUPPLY_CHAIN_CUSTOMERS_FULL_DATA")</f>
        <v/>
      </c>
      <c r="KO5">
        <f>BDS("BX US Equity","SUPPLY_CHAIN_SUPPLIERS_FULL_DATA")</f>
        <v/>
      </c>
      <c r="LC5">
        <f>BDS("BX US Equity","SUPPLY_CHAIN_CUSTOMERS_FULL_DATA")</f>
        <v/>
      </c>
      <c r="LS5">
        <f>BDS("LVLT US Equity","SUPPLY_CHAIN_SUPPLIERS_FULL_DATA")</f>
        <v/>
      </c>
      <c r="MG5">
        <f>BDS("LVLT US Equity","SUPPLY_CHAIN_CUSTOMERS_FULL_DATA")</f>
        <v/>
      </c>
      <c r="MW5">
        <f>BDS("EXC US Equity","SUPPLY_CHAIN_SUPPLIERS_FULL_DATA")</f>
        <v/>
      </c>
      <c r="NK5">
        <f>BDS("EXC US Equity","SUPPLY_CHAIN_CUSTOMERS_FULL_DATA")</f>
        <v/>
      </c>
      <c r="OA5">
        <f>BDS("ORCL US Equity","SUPPLY_CHAIN_SUPPLIERS_FULL_DATA")</f>
        <v/>
      </c>
      <c r="OO5">
        <f>BDS("ORCL US Equity","SUPPLY_CHAIN_CUSTOMERS_FULL_DATA")</f>
        <v/>
      </c>
      <c r="PE5">
        <f>BDS("2370058D US Equity","SUPPLY_CHAIN_SUPPLIERS_FULL_DATA")</f>
        <v/>
      </c>
      <c r="PS5">
        <f>BDS("2370058D US Equity","SUPPLY_CHAIN_CUSTOMERS_FULL_DATA")</f>
        <v/>
      </c>
      <c r="QI5">
        <f>BDS("TMO US Equity","SUPPLY_CHAIN_SUPPLIERS_FULL_DATA")</f>
        <v/>
      </c>
      <c r="QW5">
        <f>BDS("TMO US Equity","SUPPLY_CHAIN_CUSTOMERS_FULL_DATA")</f>
        <v/>
      </c>
      <c r="RM5">
        <f>BDS("UNH US Equity","SUPPLY_CHAIN_SUPPLIERS_FULL_DATA")</f>
        <v/>
      </c>
      <c r="SA5">
        <f>BDS("UNH US Equity","SUPPLY_CHAIN_CUSTOMERS_FULL_DATA")</f>
        <v/>
      </c>
      <c r="SQ5">
        <f>BDS("COHR US Equity","SUPPLY_CHAIN_SUPPLIERS_FULL_DATA")</f>
        <v/>
      </c>
      <c r="TE5">
        <f>BDS("COHR US Equity","SUPPLY_CHAIN_CUSTOMERS_FULL_DATA")</f>
        <v/>
      </c>
      <c r="TU5">
        <f>BDS("NOV US Equity","SUPPLY_CHAIN_SUPPLIERS_FULL_DATA")</f>
        <v/>
      </c>
      <c r="UI5">
        <f>BDS("NOV US Equity","SUPPLY_CHAIN_CUSTOMERS_FULL_DATA")</f>
        <v/>
      </c>
      <c r="UY5">
        <f>BDS("1255173D US Equity","SUPPLY_CHAIN_SUPPLIERS_FULL_DATA")</f>
        <v/>
      </c>
      <c r="VM5">
        <f>BDS("1255173D US Equity","SUPPLY_CHAIN_CUSTOMERS_FULL_DATA")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LLY US Equity</t>
        </is>
      </c>
      <c r="AE2" s="3" t="inlineStr">
        <is>
          <t>DHR US Equity</t>
        </is>
      </c>
      <c r="BI2" s="3" t="inlineStr">
        <is>
          <t>USB US Equity</t>
        </is>
      </c>
      <c r="CM2" s="3" t="inlineStr">
        <is>
          <t>DBRG US Equity</t>
        </is>
      </c>
      <c r="DQ2" s="3" t="inlineStr">
        <is>
          <t>nan Equity</t>
        </is>
      </c>
      <c r="EU2" s="3" t="inlineStr">
        <is>
          <t>OVV US Equity</t>
        </is>
      </c>
      <c r="FY2" s="3" t="inlineStr">
        <is>
          <t>ES US Equity</t>
        </is>
      </c>
      <c r="HC2" s="3" t="inlineStr">
        <is>
          <t>GEC US Equity</t>
        </is>
      </c>
      <c r="IG2" s="3" t="inlineStr">
        <is>
          <t>VTR US Equity</t>
        </is>
      </c>
      <c r="JK2" s="3" t="inlineStr">
        <is>
          <t>ET US Equity</t>
        </is>
      </c>
      <c r="KO2" s="3" t="inlineStr">
        <is>
          <t>WAMUQ US Equity</t>
        </is>
      </c>
      <c r="LS2" s="3" t="inlineStr">
        <is>
          <t>9876456D US Equity</t>
        </is>
      </c>
      <c r="MW2" s="3" t="inlineStr">
        <is>
          <t>CELG US Equity</t>
        </is>
      </c>
      <c r="OA2" s="3" t="inlineStr">
        <is>
          <t>T US Equity</t>
        </is>
      </c>
      <c r="PE2" s="3" t="inlineStr">
        <is>
          <t>CYH US Equity</t>
        </is>
      </c>
      <c r="QI2" s="3" t="inlineStr">
        <is>
          <t>MNIQQ US Equity</t>
        </is>
      </c>
      <c r="RM2" s="3" t="inlineStr">
        <is>
          <t>INTC US Equity</t>
        </is>
      </c>
      <c r="SQ2" s="3" t="inlineStr">
        <is>
          <t>3133754Q US Equity</t>
        </is>
      </c>
      <c r="TU2" s="3" t="inlineStr">
        <is>
          <t>4622869Z US Equity</t>
        </is>
      </c>
      <c r="UY2" s="3" t="inlineStr">
        <is>
          <t>nan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BDS("LLY US Equity","SUPPLY_CHAIN_SUPPLIERS_FULL_DATA")</f>
        <v/>
      </c>
      <c r="O5">
        <f>BDS("LLY US Equity","SUPPLY_CHAIN_CUSTOMERS_FULL_DATA")</f>
        <v/>
      </c>
      <c r="AE5">
        <f>BDS("DHR US Equity","SUPPLY_CHAIN_SUPPLIERS_FULL_DATA")</f>
        <v/>
      </c>
      <c r="AS5">
        <f>BDS("DHR US Equity","SUPPLY_CHAIN_CUSTOMERS_FULL_DATA")</f>
        <v/>
      </c>
      <c r="BI5">
        <f>BDS("USB US Equity","SUPPLY_CHAIN_SUPPLIERS_FULL_DATA")</f>
        <v/>
      </c>
      <c r="BW5">
        <f>BDS("USB US Equity","SUPPLY_CHAIN_CUSTOMERS_FULL_DATA")</f>
        <v/>
      </c>
      <c r="CM5">
        <f>BDS("DBRG US Equity","SUPPLY_CHAIN_SUPPLIERS_FULL_DATA")</f>
        <v/>
      </c>
      <c r="DA5">
        <f>BDS("DBRG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BDS("OVV US Equity","SUPPLY_CHAIN_SUPPLIERS_FULL_DATA")</f>
        <v/>
      </c>
      <c r="FI5">
        <f>BDS("OVV US Equity","SUPPLY_CHAIN_CUSTOMERS_FULL_DATA")</f>
        <v/>
      </c>
      <c r="FY5">
        <f>BDS("ES US Equity","SUPPLY_CHAIN_SUPPLIERS_FULL_DATA")</f>
        <v/>
      </c>
      <c r="GM5">
        <f>BDS("ES US Equity","SUPPLY_CHAIN_CUSTOMERS_FULL_DATA")</f>
        <v/>
      </c>
      <c r="HC5">
        <f>BDS("GEC US Equity","SUPPLY_CHAIN_SUPPLIERS_FULL_DATA")</f>
        <v/>
      </c>
      <c r="HQ5">
        <f>BDS("GEC US Equity","SUPPLY_CHAIN_CUSTOMERS_FULL_DATA")</f>
        <v/>
      </c>
      <c r="IG5">
        <f>BDS("VTR US Equity","SUPPLY_CHAIN_SUPPLIERS_FULL_DATA")</f>
        <v/>
      </c>
      <c r="IU5">
        <f>BDS("VTR US Equity","SUPPLY_CHAIN_CUSTOMERS_FULL_DATA")</f>
        <v/>
      </c>
      <c r="JK5">
        <f>BDS("ET US Equity","SUPPLY_CHAIN_SUPPLIERS_FULL_DATA")</f>
        <v/>
      </c>
      <c r="JY5">
        <f>BDS("ET US Equity","SUPPLY_CHAIN_CUSTOMERS_FULL_DATA")</f>
        <v/>
      </c>
      <c r="KO5">
        <f>BDS("WAMUQ US Equity","SUPPLY_CHAIN_SUPPLIERS_FULL_DATA")</f>
        <v/>
      </c>
      <c r="LC5">
        <f>BDS("WAMUQ US Equity","SUPPLY_CHAIN_CUSTOMERS_FULL_DATA")</f>
        <v/>
      </c>
      <c r="LS5">
        <f>BDS("9876456D US Equity","SUPPLY_CHAIN_SUPPLIERS_FULL_DATA")</f>
        <v/>
      </c>
      <c r="MG5">
        <f>BDS("9876456D US Equity","SUPPLY_CHAIN_CUSTOMERS_FULL_DATA")</f>
        <v/>
      </c>
      <c r="MW5">
        <f>BDS("CELG US Equity","SUPPLY_CHAIN_SUPPLIERS_FULL_DATA")</f>
        <v/>
      </c>
      <c r="NK5">
        <f>BDS("CELG US Equity","SUPPLY_CHAIN_CUSTOMERS_FULL_DATA")</f>
        <v/>
      </c>
      <c r="OA5">
        <f>BDS("T US Equity","SUPPLY_CHAIN_SUPPLIERS_FULL_DATA")</f>
        <v/>
      </c>
      <c r="OO5">
        <f>BDS("T US Equity","SUPPLY_CHAIN_CUSTOMERS_FULL_DATA")</f>
        <v/>
      </c>
      <c r="PE5">
        <f>BDS("CYH US Equity","SUPPLY_CHAIN_SUPPLIERS_FULL_DATA")</f>
        <v/>
      </c>
      <c r="PS5">
        <f>BDS("CYH US Equity","SUPPLY_CHAIN_CUSTOMERS_FULL_DATA")</f>
        <v/>
      </c>
      <c r="QI5">
        <f>BDS("MNIQQ US Equity","SUPPLY_CHAIN_SUPPLIERS_FULL_DATA")</f>
        <v/>
      </c>
      <c r="QW5">
        <f>BDS("MNIQQ US Equity","SUPPLY_CHAIN_CUSTOMERS_FULL_DATA")</f>
        <v/>
      </c>
      <c r="RM5">
        <f>BDS("INTC US Equity","SUPPLY_CHAIN_SUPPLIERS_FULL_DATA")</f>
        <v/>
      </c>
      <c r="SA5">
        <f>BDS("INTC US Equity","SUPPLY_CHAIN_CUSTOMERS_FULL_DATA")</f>
        <v/>
      </c>
      <c r="SQ5">
        <f>BDS("3133754Q US Equity","SUPPLY_CHAIN_SUPPLIERS_FULL_DATA")</f>
        <v/>
      </c>
      <c r="TE5">
        <f>BDS("3133754Q US Equity","SUPPLY_CHAIN_CUSTOMERS_FULL_DATA")</f>
        <v/>
      </c>
      <c r="TU5">
        <f>BDS("4622869Z US Equity","SUPPLY_CHAIN_SUPPLIERS_FULL_DATA")</f>
        <v/>
      </c>
      <c r="UI5">
        <f>BDS("4622869Z US Equity","SUPPLY_CHAIN_CUSTOMERS_FULL_DATA")</f>
        <v/>
      </c>
      <c r="UY5">
        <f>BDS("nan Equity","SUPPLY_CHAIN_SUPPLIERS_FULL_DATA")</f>
        <v/>
      </c>
      <c r="VM5">
        <f>BDS("nan Equity","SUPPLY_CHAIN_CUSTOMERS_FULL_DATA")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CNCEQ US Equity</t>
        </is>
      </c>
      <c r="AE2" s="3" t="inlineStr">
        <is>
          <t>2860436Q US Equity</t>
        </is>
      </c>
      <c r="BI2" s="3" t="inlineStr">
        <is>
          <t>CAG US Equity</t>
        </is>
      </c>
      <c r="CM2" s="3" t="inlineStr">
        <is>
          <t>VZ US Equity</t>
        </is>
      </c>
      <c r="DQ2" s="3" t="inlineStr">
        <is>
          <t>TXN US Equity</t>
        </is>
      </c>
      <c r="EU2" s="3" t="inlineStr">
        <is>
          <t>HR US Equity</t>
        </is>
      </c>
      <c r="FY2" s="3" t="inlineStr">
        <is>
          <t>DUK US Equity</t>
        </is>
      </c>
      <c r="HC2" s="3" t="inlineStr">
        <is>
          <t>LYO US Equity</t>
        </is>
      </c>
      <c r="IG2" s="3" t="inlineStr">
        <is>
          <t>0848680D US Equity</t>
        </is>
      </c>
      <c r="JK2" s="3" t="inlineStr">
        <is>
          <t>APC US Equity</t>
        </is>
      </c>
      <c r="KO2" s="3" t="inlineStr">
        <is>
          <t>CNC US Equity</t>
        </is>
      </c>
      <c r="LS2" s="3" t="inlineStr">
        <is>
          <t>EOP US Equity</t>
        </is>
      </c>
      <c r="MW2" s="3" t="inlineStr">
        <is>
          <t>BMY US Equity</t>
        </is>
      </c>
      <c r="OA2" s="3" t="inlineStr">
        <is>
          <t>SPG US Equity</t>
        </is>
      </c>
      <c r="PE2" s="3" t="inlineStr">
        <is>
          <t>2471693D US Equity</t>
        </is>
      </c>
      <c r="QI2" s="3" t="inlineStr">
        <is>
          <t>ENTG US Equity</t>
        </is>
      </c>
      <c r="RM2" s="3" t="inlineStr">
        <is>
          <t>ELV US Equity</t>
        </is>
      </c>
      <c r="SQ2" s="3" t="inlineStr">
        <is>
          <t>EQT US Equity</t>
        </is>
      </c>
      <c r="TU2" s="3" t="inlineStr">
        <is>
          <t>1255459D US Equity</t>
        </is>
      </c>
      <c r="UY2" s="3" t="inlineStr">
        <is>
          <t>MGM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BDS("CNCEQ US Equity","SUPPLY_CHAIN_SUPPLIERS_FULL_DATA")</f>
        <v/>
      </c>
      <c r="O5">
        <f>BDS("CNCEQ US Equity","SUPPLY_CHAIN_CUSTOMERS_FULL_DATA")</f>
        <v/>
      </c>
      <c r="AE5">
        <f>BDS("2860436Q US Equity","SUPPLY_CHAIN_SUPPLIERS_FULL_DATA")</f>
        <v/>
      </c>
      <c r="AS5">
        <f>BDS("2860436Q US Equity","SUPPLY_CHAIN_CUSTOMERS_FULL_DATA")</f>
        <v/>
      </c>
      <c r="BI5">
        <f>BDS("CAG US Equity","SUPPLY_CHAIN_SUPPLIERS_FULL_DATA")</f>
        <v/>
      </c>
      <c r="BW5">
        <f>BDS("CAG US Equity","SUPPLY_CHAIN_CUSTOMERS_FULL_DATA")</f>
        <v/>
      </c>
      <c r="CM5">
        <f>BDS("VZ US Equity","SUPPLY_CHAIN_SUPPLIERS_FULL_DATA")</f>
        <v/>
      </c>
      <c r="DA5">
        <f>BDS("VZ US Equity","SUPPLY_CHAIN_CUSTOMERS_FULL_DATA")</f>
        <v/>
      </c>
      <c r="DQ5">
        <f>BDS("TXN US Equity","SUPPLY_CHAIN_SUPPLIERS_FULL_DATA")</f>
        <v/>
      </c>
      <c r="EE5">
        <f>BDS("TXN US Equity","SUPPLY_CHAIN_CUSTOMERS_FULL_DATA")</f>
        <v/>
      </c>
      <c r="EU5">
        <f>BDS("HR US Equity","SUPPLY_CHAIN_SUPPLIERS_FULL_DATA")</f>
        <v/>
      </c>
      <c r="FI5">
        <f>BDS("HR US Equity","SUPPLY_CHAIN_CUSTOMERS_FULL_DATA")</f>
        <v/>
      </c>
      <c r="FY5">
        <f>BDS("DUK US Equity","SUPPLY_CHAIN_SUPPLIERS_FULL_DATA")</f>
        <v/>
      </c>
      <c r="GM5">
        <f>BDS("DUK US Equity","SUPPLY_CHAIN_CUSTOMERS_FULL_DATA")</f>
        <v/>
      </c>
      <c r="HC5">
        <f>BDS("LYO US Equity","SUPPLY_CHAIN_SUPPLIERS_FULL_DATA")</f>
        <v/>
      </c>
      <c r="HQ5">
        <f>BDS("LYO US Equity","SUPPLY_CHAIN_CUSTOMERS_FULL_DATA")</f>
        <v/>
      </c>
      <c r="IG5">
        <f>BDS("0848680D US Equity","SUPPLY_CHAIN_SUPPLIERS_FULL_DATA")</f>
        <v/>
      </c>
      <c r="IU5">
        <f>BDS("0848680D US Equity","SUPPLY_CHAIN_CUSTOMERS_FULL_DATA")</f>
        <v/>
      </c>
      <c r="JK5">
        <f>BDS("APC US Equity","SUPPLY_CHAIN_SUPPLIERS_FULL_DATA")</f>
        <v/>
      </c>
      <c r="JY5">
        <f>BDS("APC US Equity","SUPPLY_CHAIN_CUSTOMERS_FULL_DATA")</f>
        <v/>
      </c>
      <c r="KO5">
        <f>BDS("CNC US Equity","SUPPLY_CHAIN_SUPPLIERS_FULL_DATA")</f>
        <v/>
      </c>
      <c r="LC5">
        <f>BDS("CNC US Equity","SUPPLY_CHAIN_CUSTOMERS_FULL_DATA")</f>
        <v/>
      </c>
      <c r="LS5">
        <f>BDS("EOP US Equity","SUPPLY_CHAIN_SUPPLIERS_FULL_DATA")</f>
        <v/>
      </c>
      <c r="MG5">
        <f>BDS("EOP US Equity","SUPPLY_CHAIN_CUSTOMERS_FULL_DATA")</f>
        <v/>
      </c>
      <c r="MW5">
        <f>BDS("BMY US Equity","SUPPLY_CHAIN_SUPPLIERS_FULL_DATA")</f>
        <v/>
      </c>
      <c r="NK5">
        <f>BDS("BMY US Equity","SUPPLY_CHAIN_CUSTOMERS_FULL_DATA")</f>
        <v/>
      </c>
      <c r="OA5">
        <f>BDS("SPG US Equity","SUPPLY_CHAIN_SUPPLIERS_FULL_DATA")</f>
        <v/>
      </c>
      <c r="OO5">
        <f>BDS("SPG US Equity","SUPPLY_CHAIN_CUSTOMERS_FULL_DATA")</f>
        <v/>
      </c>
      <c r="PE5">
        <f>BDS("2471693D US Equity","SUPPLY_CHAIN_SUPPLIERS_FULL_DATA")</f>
        <v/>
      </c>
      <c r="PS5">
        <f>BDS("2471693D US Equity","SUPPLY_CHAIN_CUSTOMERS_FULL_DATA")</f>
        <v/>
      </c>
      <c r="QI5">
        <f>BDS("ENTG US Equity","SUPPLY_CHAIN_SUPPLIERS_FULL_DATA")</f>
        <v/>
      </c>
      <c r="QW5">
        <f>BDS("ENTG US Equity","SUPPLY_CHAIN_CUSTOMERS_FULL_DATA")</f>
        <v/>
      </c>
      <c r="RM5">
        <f>BDS("ELV US Equity","SUPPLY_CHAIN_SUPPLIERS_FULL_DATA")</f>
        <v/>
      </c>
      <c r="SA5">
        <f>BDS("ELV US Equity","SUPPLY_CHAIN_CUSTOMERS_FULL_DATA")</f>
        <v/>
      </c>
      <c r="SQ5">
        <f>BDS("EQT US Equity","SUPPLY_CHAIN_SUPPLIERS_FULL_DATA")</f>
        <v/>
      </c>
      <c r="TE5">
        <f>BDS("EQT US Equity","SUPPLY_CHAIN_CUSTOMERS_FULL_DATA")</f>
        <v/>
      </c>
      <c r="TU5">
        <f>BDS("1255459D US Equity","SUPPLY_CHAIN_SUPPLIERS_FULL_DATA")</f>
        <v/>
      </c>
      <c r="UI5">
        <f>BDS("1255459D US Equity","SUPPLY_CHAIN_CUSTOMERS_FULL_DATA")</f>
        <v/>
      </c>
      <c r="UY5">
        <f>BDS("MGM US Equity","SUPPLY_CHAIN_SUPPLIERS_FULL_DATA")</f>
        <v/>
      </c>
      <c r="VM5">
        <f>BDS("MGM US Equity","SUPPLY_CHAIN_CUSTOMERS_FULL_DATA")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TXN US Equity</t>
        </is>
      </c>
      <c r="AE2" s="3" t="inlineStr">
        <is>
          <t>CYH US Equity</t>
        </is>
      </c>
      <c r="BI2" s="3" t="inlineStr">
        <is>
          <t>DLR US Equity</t>
        </is>
      </c>
      <c r="CM2" s="3" t="inlineStr">
        <is>
          <t>IP US Equity</t>
        </is>
      </c>
      <c r="DQ2" s="3" t="inlineStr">
        <is>
          <t>SSCCQ US Equity</t>
        </is>
      </c>
      <c r="EU2" s="3" t="inlineStr">
        <is>
          <t>CSCO US Equity</t>
        </is>
      </c>
      <c r="FY2" s="3" t="inlineStr">
        <is>
          <t>1996074D US Equity</t>
        </is>
      </c>
      <c r="HC2" s="3" t="inlineStr">
        <is>
          <t>CAH US Equity</t>
        </is>
      </c>
      <c r="IG2" s="3" t="inlineStr">
        <is>
          <t>APO US Equity</t>
        </is>
      </c>
      <c r="JK2" s="3" t="inlineStr">
        <is>
          <t>DXC US Equity</t>
        </is>
      </c>
      <c r="KO2" s="3" t="inlineStr">
        <is>
          <t>BIIB US Equity</t>
        </is>
      </c>
      <c r="LS2" s="3" t="inlineStr">
        <is>
          <t>285939Q US Equity</t>
        </is>
      </c>
      <c r="MW2" s="3" t="inlineStr">
        <is>
          <t>ACM US Equity</t>
        </is>
      </c>
      <c r="OA2" s="3" t="inlineStr">
        <is>
          <t>1715651D US Equity</t>
        </is>
      </c>
      <c r="PE2" s="3" t="inlineStr">
        <is>
          <t>MTCH US Equity</t>
        </is>
      </c>
      <c r="QI2" s="3" t="inlineStr">
        <is>
          <t>NFB US Equity</t>
        </is>
      </c>
      <c r="RM2" s="3" t="inlineStr">
        <is>
          <t>APO US Equity</t>
        </is>
      </c>
      <c r="SQ2" s="3" t="inlineStr">
        <is>
          <t>CPB US Equity</t>
        </is>
      </c>
      <c r="TU2" s="3" t="inlineStr">
        <is>
          <t>WLL US Equity</t>
        </is>
      </c>
      <c r="UY2" s="3" t="inlineStr">
        <is>
          <t>DBRG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BDS("TXN US Equity","SUPPLY_CHAIN_SUPPLIERS_FULL_DATA")</f>
        <v/>
      </c>
      <c r="O5">
        <f>BDS("TXN US Equity","SUPPLY_CHAIN_CUSTOMERS_FULL_DATA")</f>
        <v/>
      </c>
      <c r="AE5">
        <f>BDS("CYH US Equity","SUPPLY_CHAIN_SUPPLIERS_FULL_DATA")</f>
        <v/>
      </c>
      <c r="AS5">
        <f>BDS("CYH US Equity","SUPPLY_CHAIN_CUSTOMERS_FULL_DATA")</f>
        <v/>
      </c>
      <c r="BI5">
        <f>BDS("DLR US Equity","SUPPLY_CHAIN_SUPPLIERS_FULL_DATA")</f>
        <v/>
      </c>
      <c r="BW5">
        <f>BDS("DLR US Equity","SUPPLY_CHAIN_CUSTOMERS_FULL_DATA")</f>
        <v/>
      </c>
      <c r="CM5">
        <f>BDS("IP US Equity","SUPPLY_CHAIN_SUPPLIERS_FULL_DATA")</f>
        <v/>
      </c>
      <c r="DA5">
        <f>BDS("IP US Equity","SUPPLY_CHAIN_CUSTOMERS_FULL_DATA")</f>
        <v/>
      </c>
      <c r="DQ5">
        <f>BDS("SSCCQ US Equity","SUPPLY_CHAIN_SUPPLIERS_FULL_DATA")</f>
        <v/>
      </c>
      <c r="EE5">
        <f>BDS("SSCCQ US Equity","SUPPLY_CHAIN_CUSTOMERS_FULL_DATA")</f>
        <v/>
      </c>
      <c r="EU5">
        <f>BDS("CSCO US Equity","SUPPLY_CHAIN_SUPPLIERS_FULL_DATA")</f>
        <v/>
      </c>
      <c r="FI5">
        <f>BDS("CSCO US Equity","SUPPLY_CHAIN_CUSTOMERS_FULL_DATA")</f>
        <v/>
      </c>
      <c r="FY5">
        <f>BDS("1996074D US Equity","SUPPLY_CHAIN_SUPPLIERS_FULL_DATA")</f>
        <v/>
      </c>
      <c r="GM5">
        <f>BDS("1996074D US Equity","SUPPLY_CHAIN_CUSTOMERS_FULL_DATA")</f>
        <v/>
      </c>
      <c r="HC5">
        <f>BDS("CAH US Equity","SUPPLY_CHAIN_SUPPLIERS_FULL_DATA")</f>
        <v/>
      </c>
      <c r="HQ5">
        <f>BDS("CAH US Equity","SUPPLY_CHAIN_CUSTOMERS_FULL_DATA")</f>
        <v/>
      </c>
      <c r="IG5">
        <f>BDS("APO US Equity","SUPPLY_CHAIN_SUPPLIERS_FULL_DATA")</f>
        <v/>
      </c>
      <c r="IU5">
        <f>BDS("APO US Equity","SUPPLY_CHAIN_CUSTOMERS_FULL_DATA")</f>
        <v/>
      </c>
      <c r="JK5">
        <f>BDS("DXC US Equity","SUPPLY_CHAIN_SUPPLIERS_FULL_DATA")</f>
        <v/>
      </c>
      <c r="JY5">
        <f>BDS("DXC US Equity","SUPPLY_CHAIN_CUSTOMERS_FULL_DATA")</f>
        <v/>
      </c>
      <c r="KO5">
        <f>BDS("BIIB US Equity","SUPPLY_CHAIN_SUPPLIERS_FULL_DATA")</f>
        <v/>
      </c>
      <c r="LC5">
        <f>BDS("BIIB US Equity","SUPPLY_CHAIN_CUSTOMERS_FULL_DATA")</f>
        <v/>
      </c>
      <c r="LS5">
        <f>BDS("285939Q US Equity","SUPPLY_CHAIN_SUPPLIERS_FULL_DATA")</f>
        <v/>
      </c>
      <c r="MG5">
        <f>BDS("285939Q US Equity","SUPPLY_CHAIN_CUSTOMERS_FULL_DATA")</f>
        <v/>
      </c>
      <c r="MW5">
        <f>BDS("ACM US Equity","SUPPLY_CHAIN_SUPPLIERS_FULL_DATA")</f>
        <v/>
      </c>
      <c r="NK5">
        <f>BDS("ACM US Equity","SUPPLY_CHAIN_CUSTOMERS_FULL_DATA")</f>
        <v/>
      </c>
      <c r="OA5">
        <f>BDS("1715651D US Equity","SUPPLY_CHAIN_SUPPLIERS_FULL_DATA")</f>
        <v/>
      </c>
      <c r="OO5">
        <f>BDS("1715651D US Equity","SUPPLY_CHAIN_CUSTOMERS_FULL_DATA")</f>
        <v/>
      </c>
      <c r="PE5">
        <f>BDS("MTCH US Equity","SUPPLY_CHAIN_SUPPLIERS_FULL_DATA")</f>
        <v/>
      </c>
      <c r="PS5">
        <f>BDS("MTCH US Equity","SUPPLY_CHAIN_CUSTOMERS_FULL_DATA")</f>
        <v/>
      </c>
      <c r="QI5">
        <f>BDS("NFB US Equity","SUPPLY_CHAIN_SUPPLIERS_FULL_DATA")</f>
        <v/>
      </c>
      <c r="QW5">
        <f>BDS("NFB US Equity","SUPPLY_CHAIN_CUSTOMERS_FULL_DATA")</f>
        <v/>
      </c>
      <c r="RM5">
        <f>BDS("APO US Equity","SUPPLY_CHAIN_SUPPLIERS_FULL_DATA")</f>
        <v/>
      </c>
      <c r="SA5">
        <f>BDS("APO US Equity","SUPPLY_CHAIN_CUSTOMERS_FULL_DATA")</f>
        <v/>
      </c>
      <c r="SQ5">
        <f>BDS("CPB US Equity","SUPPLY_CHAIN_SUPPLIERS_FULL_DATA")</f>
        <v/>
      </c>
      <c r="TE5">
        <f>BDS("CPB US Equity","SUPPLY_CHAIN_CUSTOMERS_FULL_DATA")</f>
        <v/>
      </c>
      <c r="TU5">
        <f>BDS("WLL US Equity","SUPPLY_CHAIN_SUPPLIERS_FULL_DATA")</f>
        <v/>
      </c>
      <c r="UI5">
        <f>BDS("WLL US Equity","SUPPLY_CHAIN_CUSTOMERS_FULL_DATA")</f>
        <v/>
      </c>
      <c r="UY5">
        <f>BDS("DBRG US Equity","SUPPLY_CHAIN_SUPPLIERS_FULL_DATA")</f>
        <v/>
      </c>
      <c r="VM5">
        <f>BDS("DBRG US Equity","SUPPLY_CHAIN_CUSTOMERS_FULL_DATA")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ALB US Equity</t>
        </is>
      </c>
      <c r="AE2" s="3" t="inlineStr">
        <is>
          <t>NWL US Equity</t>
        </is>
      </c>
      <c r="BI2" s="3" t="inlineStr">
        <is>
          <t>WMB US Equity</t>
        </is>
      </c>
      <c r="CM2" s="3" t="inlineStr">
        <is>
          <t>LLY US Equity</t>
        </is>
      </c>
      <c r="DQ2" s="3" t="inlineStr">
        <is>
          <t>TFCFA US Equity</t>
        </is>
      </c>
      <c r="EU2" s="3" t="inlineStr">
        <is>
          <t>D US Equity</t>
        </is>
      </c>
      <c r="FY2" s="3" t="inlineStr">
        <is>
          <t>EMR US Equity</t>
        </is>
      </c>
      <c r="HC2" s="3" t="inlineStr">
        <is>
          <t>DVN US Equity</t>
        </is>
      </c>
      <c r="IG2" s="3" t="inlineStr">
        <is>
          <t>3692470Q US Equity</t>
        </is>
      </c>
      <c r="JK2" s="3" t="inlineStr">
        <is>
          <t>ESS US Equity</t>
        </is>
      </c>
      <c r="KO2" s="3" t="inlineStr">
        <is>
          <t>CG US Equity</t>
        </is>
      </c>
      <c r="LS2" s="3" t="inlineStr">
        <is>
          <t>TWX US Equity</t>
        </is>
      </c>
      <c r="MW2" s="3" t="inlineStr">
        <is>
          <t>PNC US Equity</t>
        </is>
      </c>
      <c r="OA2" s="3" t="inlineStr">
        <is>
          <t>TFCFA US Equity</t>
        </is>
      </c>
      <c r="PE2" s="3" t="inlineStr">
        <is>
          <t>EPD US Equity</t>
        </is>
      </c>
      <c r="QI2" s="3" t="inlineStr">
        <is>
          <t>REG US Equity</t>
        </is>
      </c>
      <c r="RM2" s="3" t="inlineStr">
        <is>
          <t>ANDV US Equity</t>
        </is>
      </c>
      <c r="SQ2" s="3" t="inlineStr">
        <is>
          <t>WBS US Equity</t>
        </is>
      </c>
      <c r="TU2" s="3" t="inlineStr">
        <is>
          <t>SITC US Equity</t>
        </is>
      </c>
      <c r="UY2" s="3" t="inlineStr">
        <is>
          <t>BEN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BDS("ALB US Equity","SUPPLY_CHAIN_SUPPLIERS_FULL_DATA")</f>
        <v/>
      </c>
      <c r="O5">
        <f>BDS("ALB US Equity","SUPPLY_CHAIN_CUSTOMERS_FULL_DATA")</f>
        <v/>
      </c>
      <c r="AE5">
        <f>BDS("NWL US Equity","SUPPLY_CHAIN_SUPPLIERS_FULL_DATA")</f>
        <v/>
      </c>
      <c r="AS5">
        <f>BDS("NWL US Equity","SUPPLY_CHAIN_CUSTOMERS_FULL_DATA")</f>
        <v/>
      </c>
      <c r="BI5">
        <f>BDS("WMB US Equity","SUPPLY_CHAIN_SUPPLIERS_FULL_DATA")</f>
        <v/>
      </c>
      <c r="BW5">
        <f>BDS("WMB US Equity","SUPPLY_CHAIN_CUSTOMERS_FULL_DATA")</f>
        <v/>
      </c>
      <c r="CM5">
        <f>BDS("LLY US Equity","SUPPLY_CHAIN_SUPPLIERS_FULL_DATA")</f>
        <v/>
      </c>
      <c r="DA5">
        <f>BDS("LLY US Equity","SUPPLY_CHAIN_CUSTOMERS_FULL_DATA")</f>
        <v/>
      </c>
      <c r="DQ5">
        <f>BDS("TFCFA US Equity","SUPPLY_CHAIN_SUPPLIERS_FULL_DATA")</f>
        <v/>
      </c>
      <c r="EE5">
        <f>BDS("TFCFA US Equity","SUPPLY_CHAIN_CUSTOMERS_FULL_DATA")</f>
        <v/>
      </c>
      <c r="EU5">
        <f>BDS("D US Equity","SUPPLY_CHAIN_SUPPLIERS_FULL_DATA")</f>
        <v/>
      </c>
      <c r="FI5">
        <f>BDS("D US Equity","SUPPLY_CHAIN_CUSTOMERS_FULL_DATA")</f>
        <v/>
      </c>
      <c r="FY5">
        <f>BDS("EMR US Equity","SUPPLY_CHAIN_SUPPLIERS_FULL_DATA")</f>
        <v/>
      </c>
      <c r="GM5">
        <f>BDS("EMR US Equity","SUPPLY_CHAIN_CUSTOMERS_FULL_DATA")</f>
        <v/>
      </c>
      <c r="HC5">
        <f>BDS("DVN US Equity","SUPPLY_CHAIN_SUPPLIERS_FULL_DATA")</f>
        <v/>
      </c>
      <c r="HQ5">
        <f>BDS("DVN US Equity","SUPPLY_CHAIN_CUSTOMERS_FULL_DATA")</f>
        <v/>
      </c>
      <c r="IG5">
        <f>BDS("3692470Q US Equity","SUPPLY_CHAIN_SUPPLIERS_FULL_DATA")</f>
        <v/>
      </c>
      <c r="IU5">
        <f>BDS("3692470Q US Equity","SUPPLY_CHAIN_CUSTOMERS_FULL_DATA")</f>
        <v/>
      </c>
      <c r="JK5">
        <f>BDS("ESS US Equity","SUPPLY_CHAIN_SUPPLIERS_FULL_DATA")</f>
        <v/>
      </c>
      <c r="JY5">
        <f>BDS("ESS US Equity","SUPPLY_CHAIN_CUSTOMERS_FULL_DATA")</f>
        <v/>
      </c>
      <c r="KO5">
        <f>BDS("CG US Equity","SUPPLY_CHAIN_SUPPLIERS_FULL_DATA")</f>
        <v/>
      </c>
      <c r="LC5">
        <f>BDS("CG US Equity","SUPPLY_CHAIN_CUSTOMERS_FULL_DATA")</f>
        <v/>
      </c>
      <c r="LS5">
        <f>BDS("TWX US Equity","SUPPLY_CHAIN_SUPPLIERS_FULL_DATA")</f>
        <v/>
      </c>
      <c r="MG5">
        <f>BDS("TWX US Equity","SUPPLY_CHAIN_CUSTOMERS_FULL_DATA")</f>
        <v/>
      </c>
      <c r="MW5">
        <f>BDS("PNC US Equity","SUPPLY_CHAIN_SUPPLIERS_FULL_DATA")</f>
        <v/>
      </c>
      <c r="NK5">
        <f>BDS("PNC US Equity","SUPPLY_CHAIN_CUSTOMERS_FULL_DATA")</f>
        <v/>
      </c>
      <c r="OA5">
        <f>BDS("TFCFA US Equity","SUPPLY_CHAIN_SUPPLIERS_FULL_DATA")</f>
        <v/>
      </c>
      <c r="OO5">
        <f>BDS("TFCFA US Equity","SUPPLY_CHAIN_CUSTOMERS_FULL_DATA")</f>
        <v/>
      </c>
      <c r="PE5">
        <f>BDS("EPD US Equity","SUPPLY_CHAIN_SUPPLIERS_FULL_DATA")</f>
        <v/>
      </c>
      <c r="PS5">
        <f>BDS("EPD US Equity","SUPPLY_CHAIN_CUSTOMERS_FULL_DATA")</f>
        <v/>
      </c>
      <c r="QI5">
        <f>BDS("REG US Equity","SUPPLY_CHAIN_SUPPLIERS_FULL_DATA")</f>
        <v/>
      </c>
      <c r="QW5">
        <f>BDS("REG US Equity","SUPPLY_CHAIN_CUSTOMERS_FULL_DATA")</f>
        <v/>
      </c>
      <c r="RM5">
        <f>BDS("ANDV US Equity","SUPPLY_CHAIN_SUPPLIERS_FULL_DATA")</f>
        <v/>
      </c>
      <c r="SA5">
        <f>BDS("ANDV US Equity","SUPPLY_CHAIN_CUSTOMERS_FULL_DATA")</f>
        <v/>
      </c>
      <c r="SQ5">
        <f>BDS("WBS US Equity","SUPPLY_CHAIN_SUPPLIERS_FULL_DATA")</f>
        <v/>
      </c>
      <c r="TE5">
        <f>BDS("WBS US Equity","SUPPLY_CHAIN_CUSTOMERS_FULL_DATA")</f>
        <v/>
      </c>
      <c r="TU5">
        <f>BDS("SITC US Equity","SUPPLY_CHAIN_SUPPLIERS_FULL_DATA")</f>
        <v/>
      </c>
      <c r="UI5">
        <f>BDS("SITC US Equity","SUPPLY_CHAIN_CUSTOMERS_FULL_DATA")</f>
        <v/>
      </c>
      <c r="UY5">
        <f>BDS("BEN US Equity","SUPPLY_CHAIN_SUPPLIERS_FULL_DATA")</f>
        <v/>
      </c>
      <c r="VM5">
        <f>BDS("BEN US Equity","SUPPLY_CHAIN_CUSTOMERS_FULL_DATA")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DIS US Equity</t>
        </is>
      </c>
      <c r="AE2" s="3" t="inlineStr">
        <is>
          <t>JNJ US Equity</t>
        </is>
      </c>
      <c r="BI2" s="3" t="inlineStr">
        <is>
          <t>nan Equity</t>
        </is>
      </c>
      <c r="CM2" s="3" t="inlineStr">
        <is>
          <t>PENN US Equity</t>
        </is>
      </c>
      <c r="DQ2" s="3" t="inlineStr">
        <is>
          <t>VLO US Equity</t>
        </is>
      </c>
      <c r="EU2" s="3" t="inlineStr">
        <is>
          <t>PXP US Equity</t>
        </is>
      </c>
      <c r="FY2" s="3" t="inlineStr">
        <is>
          <t>FSK US Equity</t>
        </is>
      </c>
      <c r="HC2" s="3" t="inlineStr">
        <is>
          <t>HBAN US Equity</t>
        </is>
      </c>
      <c r="IG2" s="3" t="inlineStr">
        <is>
          <t>GLPI US Equity</t>
        </is>
      </c>
      <c r="JK2" s="3" t="inlineStr">
        <is>
          <t>ORCL US Equity</t>
        </is>
      </c>
      <c r="KO2" s="3" t="inlineStr">
        <is>
          <t>nan Equity</t>
        </is>
      </c>
      <c r="LS2" s="3" t="inlineStr">
        <is>
          <t>CCI US Equity</t>
        </is>
      </c>
      <c r="MW2" s="3" t="inlineStr">
        <is>
          <t>NLY US Equity</t>
        </is>
      </c>
      <c r="OA2" s="3" t="inlineStr">
        <is>
          <t>CRM US Equity</t>
        </is>
      </c>
      <c r="PE2" s="3" t="inlineStr">
        <is>
          <t>1793839D US Equity</t>
        </is>
      </c>
      <c r="QI2" s="3" t="inlineStr">
        <is>
          <t>9210611D US Equity</t>
        </is>
      </c>
      <c r="RM2" s="3" t="inlineStr">
        <is>
          <t>HOLX US Equity</t>
        </is>
      </c>
      <c r="SQ2" s="3" t="inlineStr">
        <is>
          <t>AA US Equity</t>
        </is>
      </c>
      <c r="TU2" s="3" t="inlineStr">
        <is>
          <t>nan Equity</t>
        </is>
      </c>
      <c r="UY2" s="3" t="inlineStr">
        <is>
          <t>BX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BDS("DIS US Equity","SUPPLY_CHAIN_SUPPLIERS_FULL_DATA")</f>
        <v/>
      </c>
      <c r="O5">
        <f>BDS("DIS US Equity","SUPPLY_CHAIN_CUSTOMERS_FULL_DATA")</f>
        <v/>
      </c>
      <c r="AE5">
        <f>BDS("JNJ US Equity","SUPPLY_CHAIN_SUPPLIERS_FULL_DATA")</f>
        <v/>
      </c>
      <c r="AS5">
        <f>BDS("JNJ US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BDS("PENN US Equity","SUPPLY_CHAIN_SUPPLIERS_FULL_DATA")</f>
        <v/>
      </c>
      <c r="DA5">
        <f>BDS("PENN US Equity","SUPPLY_CHAIN_CUSTOMERS_FULL_DATA")</f>
        <v/>
      </c>
      <c r="DQ5">
        <f>BDS("VLO US Equity","SUPPLY_CHAIN_SUPPLIERS_FULL_DATA")</f>
        <v/>
      </c>
      <c r="EE5">
        <f>BDS("VLO US Equity","SUPPLY_CHAIN_CUSTOMERS_FULL_DATA")</f>
        <v/>
      </c>
      <c r="EU5">
        <f>BDS("PXP US Equity","SUPPLY_CHAIN_SUPPLIERS_FULL_DATA")</f>
        <v/>
      </c>
      <c r="FI5">
        <f>BDS("PXP US Equity","SUPPLY_CHAIN_CUSTOMERS_FULL_DATA")</f>
        <v/>
      </c>
      <c r="FY5">
        <f>BDS("FSK US Equity","SUPPLY_CHAIN_SUPPLIERS_FULL_DATA")</f>
        <v/>
      </c>
      <c r="GM5">
        <f>BDS("FSK US Equity","SUPPLY_CHAIN_CUSTOMERS_FULL_DATA")</f>
        <v/>
      </c>
      <c r="HC5">
        <f>BDS("HBAN US Equity","SUPPLY_CHAIN_SUPPLIERS_FULL_DATA")</f>
        <v/>
      </c>
      <c r="HQ5">
        <f>BDS("HBAN US Equity","SUPPLY_CHAIN_CUSTOMERS_FULL_DATA")</f>
        <v/>
      </c>
      <c r="IG5">
        <f>BDS("GLPI US Equity","SUPPLY_CHAIN_SUPPLIERS_FULL_DATA")</f>
        <v/>
      </c>
      <c r="IU5">
        <f>BDS("GLPI US Equity","SUPPLY_CHAIN_CUSTOMERS_FULL_DATA")</f>
        <v/>
      </c>
      <c r="JK5">
        <f>BDS("ORCL US Equity","SUPPLY_CHAIN_SUPPLIERS_FULL_DATA")</f>
        <v/>
      </c>
      <c r="JY5">
        <f>BDS("ORCL US Equity","SUPPLY_CHAIN_CUSTOMERS_FULL_DATA")</f>
        <v/>
      </c>
      <c r="KO5">
        <f>BDS("nan Equity","SUPPLY_CHAIN_SUPPLIERS_FULL_DATA")</f>
        <v/>
      </c>
      <c r="LC5">
        <f>BDS("nan Equity","SUPPLY_CHAIN_CUSTOMERS_FULL_DATA")</f>
        <v/>
      </c>
      <c r="LS5">
        <f>BDS("CCI US Equity","SUPPLY_CHAIN_SUPPLIERS_FULL_DATA")</f>
        <v/>
      </c>
      <c r="MG5">
        <f>BDS("CCI US Equity","SUPPLY_CHAIN_CUSTOMERS_FULL_DATA")</f>
        <v/>
      </c>
      <c r="MW5">
        <f>BDS("NLY US Equity","SUPPLY_CHAIN_SUPPLIERS_FULL_DATA")</f>
        <v/>
      </c>
      <c r="NK5">
        <f>BDS("NLY US Equity","SUPPLY_CHAIN_CUSTOMERS_FULL_DATA")</f>
        <v/>
      </c>
      <c r="OA5">
        <f>BDS("CRM US Equity","SUPPLY_CHAIN_SUPPLIERS_FULL_DATA")</f>
        <v/>
      </c>
      <c r="OO5">
        <f>BDS("CRM US Equity","SUPPLY_CHAIN_CUSTOMERS_FULL_DATA")</f>
        <v/>
      </c>
      <c r="PE5">
        <f>BDS("1793839D US Equity","SUPPLY_CHAIN_SUPPLIERS_FULL_DATA")</f>
        <v/>
      </c>
      <c r="PS5">
        <f>BDS("1793839D US Equity","SUPPLY_CHAIN_CUSTOMERS_FULL_DATA")</f>
        <v/>
      </c>
      <c r="QI5">
        <f>BDS("9210611D US Equity","SUPPLY_CHAIN_SUPPLIERS_FULL_DATA")</f>
        <v/>
      </c>
      <c r="QW5">
        <f>BDS("9210611D US Equity","SUPPLY_CHAIN_CUSTOMERS_FULL_DATA")</f>
        <v/>
      </c>
      <c r="RM5">
        <f>BDS("HOLX US Equity","SUPPLY_CHAIN_SUPPLIERS_FULL_DATA")</f>
        <v/>
      </c>
      <c r="SA5">
        <f>BDS("HOLX US Equity","SUPPLY_CHAIN_CUSTOMERS_FULL_DATA")</f>
        <v/>
      </c>
      <c r="SQ5">
        <f>BDS("AA US Equity","SUPPLY_CHAIN_SUPPLIERS_FULL_DATA")</f>
        <v/>
      </c>
      <c r="TE5">
        <f>BDS("AA US Equity","SUPPLY_CHAIN_CUSTOMERS_FULL_DATA")</f>
        <v/>
      </c>
      <c r="TU5">
        <f>BDS("nan Equity","SUPPLY_CHAIN_SUPPLIERS_FULL_DATA")</f>
        <v/>
      </c>
      <c r="UI5">
        <f>BDS("nan Equity","SUPPLY_CHAIN_CUSTOMERS_FULL_DATA")</f>
        <v/>
      </c>
      <c r="UY5">
        <f>BDS("BX US Equity","SUPPLY_CHAIN_SUPPLIERS_FULL_DATA")</f>
        <v/>
      </c>
      <c r="VM5">
        <f>BDS("BX US Equity","SUPPLY_CHAIN_CUSTOMERS_FULL_DATA")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WAMUQ US Equity</t>
        </is>
      </c>
      <c r="BI2" s="3" t="inlineStr">
        <is>
          <t>BKR US Equity</t>
        </is>
      </c>
      <c r="CM2" s="3" t="inlineStr">
        <is>
          <t>AET US Equity</t>
        </is>
      </c>
      <c r="DQ2" s="3" t="inlineStr">
        <is>
          <t>nan Equity</t>
        </is>
      </c>
      <c r="EU2" s="3" t="inlineStr">
        <is>
          <t>SSNC US Equity</t>
        </is>
      </c>
      <c r="FY2" s="3" t="inlineStr">
        <is>
          <t>nan Equity</t>
        </is>
      </c>
      <c r="HC2" s="3" t="inlineStr">
        <is>
          <t>9980328D US Equity</t>
        </is>
      </c>
      <c r="IG2" s="3" t="inlineStr">
        <is>
          <t>UNP US Equity</t>
        </is>
      </c>
      <c r="JK2" s="3" t="inlineStr">
        <is>
          <t>KIM US Equity</t>
        </is>
      </c>
      <c r="KO2" s="3" t="inlineStr">
        <is>
          <t>AVGO US Equity</t>
        </is>
      </c>
      <c r="LS2" s="3" t="inlineStr">
        <is>
          <t>PLD US Equity</t>
        </is>
      </c>
      <c r="MW2" s="3" t="inlineStr">
        <is>
          <t>BKR US Equity</t>
        </is>
      </c>
      <c r="OA2" s="3" t="inlineStr">
        <is>
          <t>WPC US Equity</t>
        </is>
      </c>
      <c r="PE2" s="3" t="inlineStr">
        <is>
          <t>MSFT US Equity</t>
        </is>
      </c>
      <c r="QI2" s="3" t="inlineStr">
        <is>
          <t>MNKTQ US Equity</t>
        </is>
      </c>
      <c r="RM2" s="3" t="inlineStr">
        <is>
          <t>C US Equity</t>
        </is>
      </c>
      <c r="SQ2" s="3" t="inlineStr">
        <is>
          <t>PFE US Equity</t>
        </is>
      </c>
      <c r="TU2" s="3" t="inlineStr">
        <is>
          <t>AIG US Equity</t>
        </is>
      </c>
      <c r="UY2" s="3" t="inlineStr">
        <is>
          <t>BX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BDS("WAMUQ US Equity","SUPPLY_CHAIN_SUPPLIERS_FULL_DATA")</f>
        <v/>
      </c>
      <c r="AS5">
        <f>BDS("WAMUQ US Equity","SUPPLY_CHAIN_CUSTOMERS_FULL_DATA")</f>
        <v/>
      </c>
      <c r="BI5">
        <f>BDS("BKR US Equity","SUPPLY_CHAIN_SUPPLIERS_FULL_DATA")</f>
        <v/>
      </c>
      <c r="BW5">
        <f>BDS("BKR US Equity","SUPPLY_CHAIN_CUSTOMERS_FULL_DATA")</f>
        <v/>
      </c>
      <c r="CM5">
        <f>BDS("AET US Equity","SUPPLY_CHAIN_SUPPLIERS_FULL_DATA")</f>
        <v/>
      </c>
      <c r="DA5">
        <f>BDS("AET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BDS("SSNC US Equity","SUPPLY_CHAIN_SUPPLIERS_FULL_DATA")</f>
        <v/>
      </c>
      <c r="FI5">
        <f>BDS("SSNC US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BDS("9980328D US Equity","SUPPLY_CHAIN_SUPPLIERS_FULL_DATA")</f>
        <v/>
      </c>
      <c r="HQ5">
        <f>BDS("9980328D US Equity","SUPPLY_CHAIN_CUSTOMERS_FULL_DATA")</f>
        <v/>
      </c>
      <c r="IG5">
        <f>BDS("UNP US Equity","SUPPLY_CHAIN_SUPPLIERS_FULL_DATA")</f>
        <v/>
      </c>
      <c r="IU5">
        <f>BDS("UNP US Equity","SUPPLY_CHAIN_CUSTOMERS_FULL_DATA")</f>
        <v/>
      </c>
      <c r="JK5">
        <f>BDS("KIM US Equity","SUPPLY_CHAIN_SUPPLIERS_FULL_DATA")</f>
        <v/>
      </c>
      <c r="JY5">
        <f>BDS("KIM US Equity","SUPPLY_CHAIN_CUSTOMERS_FULL_DATA")</f>
        <v/>
      </c>
      <c r="KO5">
        <f>BDS("AVGO US Equity","SUPPLY_CHAIN_SUPPLIERS_FULL_DATA")</f>
        <v/>
      </c>
      <c r="LC5">
        <f>BDS("AVGO US Equity","SUPPLY_CHAIN_CUSTOMERS_FULL_DATA")</f>
        <v/>
      </c>
      <c r="LS5">
        <f>BDS("PLD US Equity","SUPPLY_CHAIN_SUPPLIERS_FULL_DATA")</f>
        <v/>
      </c>
      <c r="MG5">
        <f>BDS("PLD US Equity","SUPPLY_CHAIN_CUSTOMERS_FULL_DATA")</f>
        <v/>
      </c>
      <c r="MW5">
        <f>BDS("BKR US Equity","SUPPLY_CHAIN_SUPPLIERS_FULL_DATA")</f>
        <v/>
      </c>
      <c r="NK5">
        <f>BDS("BKR US Equity","SUPPLY_CHAIN_CUSTOMERS_FULL_DATA")</f>
        <v/>
      </c>
      <c r="OA5">
        <f>BDS("WPC US Equity","SUPPLY_CHAIN_SUPPLIERS_FULL_DATA")</f>
        <v/>
      </c>
      <c r="OO5">
        <f>BDS("WPC US Equity","SUPPLY_CHAIN_CUSTOMERS_FULL_DATA")</f>
        <v/>
      </c>
      <c r="PE5">
        <f>BDS("MSFT US Equity","SUPPLY_CHAIN_SUPPLIERS_FULL_DATA")</f>
        <v/>
      </c>
      <c r="PS5">
        <f>BDS("MSFT US Equity","SUPPLY_CHAIN_CUSTOMERS_FULL_DATA")</f>
        <v/>
      </c>
      <c r="QI5">
        <f>BDS("MNKTQ US Equity","SUPPLY_CHAIN_SUPPLIERS_FULL_DATA")</f>
        <v/>
      </c>
      <c r="QW5">
        <f>BDS("MNKTQ US Equity","SUPPLY_CHAIN_CUSTOMERS_FULL_DATA")</f>
        <v/>
      </c>
      <c r="RM5">
        <f>BDS("C US Equity","SUPPLY_CHAIN_SUPPLIERS_FULL_DATA")</f>
        <v/>
      </c>
      <c r="SA5">
        <f>BDS("C US Equity","SUPPLY_CHAIN_CUSTOMERS_FULL_DATA")</f>
        <v/>
      </c>
      <c r="SQ5">
        <f>BDS("PFE US Equity","SUPPLY_CHAIN_SUPPLIERS_FULL_DATA")</f>
        <v/>
      </c>
      <c r="TE5">
        <f>BDS("PFE US Equity","SUPPLY_CHAIN_CUSTOMERS_FULL_DATA")</f>
        <v/>
      </c>
      <c r="TU5">
        <f>BDS("AIG US Equity","SUPPLY_CHAIN_SUPPLIERS_FULL_DATA")</f>
        <v/>
      </c>
      <c r="UI5">
        <f>BDS("AIG US Equity","SUPPLY_CHAIN_CUSTOMERS_FULL_DATA")</f>
        <v/>
      </c>
      <c r="UY5">
        <f>BDS("BX US Equity","SUPPLY_CHAIN_SUPPLIERS_FULL_DATA")</f>
        <v/>
      </c>
      <c r="VM5">
        <f>BDS("BX US Equity","SUPPLY_CHAIN_CUSTOMERS_FULL_DATA")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GD US Equity</t>
        </is>
      </c>
      <c r="AE2" s="3" t="inlineStr">
        <is>
          <t>UGI US Equity</t>
        </is>
      </c>
      <c r="BI2" s="3" t="inlineStr">
        <is>
          <t>1005945D US Equity</t>
        </is>
      </c>
      <c r="CM2" s="3" t="inlineStr">
        <is>
          <t>CEQP US Equity</t>
        </is>
      </c>
      <c r="DQ2" s="3" t="inlineStr">
        <is>
          <t>TSLA US Equity</t>
        </is>
      </c>
      <c r="EU2" s="3" t="inlineStr">
        <is>
          <t>MTB US Equity</t>
        </is>
      </c>
      <c r="FY2" s="3" t="inlineStr">
        <is>
          <t>PNC US Equity</t>
        </is>
      </c>
      <c r="HC2" s="3" t="inlineStr">
        <is>
          <t>GE US Equity</t>
        </is>
      </c>
      <c r="IG2" s="3" t="inlineStr">
        <is>
          <t>MTB US Equity</t>
        </is>
      </c>
      <c r="JK2" s="3" t="inlineStr">
        <is>
          <t>CSCO US Equity</t>
        </is>
      </c>
      <c r="KO2" s="3" t="inlineStr">
        <is>
          <t>BKD US Equity</t>
        </is>
      </c>
      <c r="LS2" s="3" t="inlineStr">
        <is>
          <t>APC US Equity</t>
        </is>
      </c>
      <c r="MW2" s="3" t="inlineStr">
        <is>
          <t>ROH US Equity</t>
        </is>
      </c>
      <c r="OA2" s="3" t="inlineStr">
        <is>
          <t>NGLS US Equity</t>
        </is>
      </c>
      <c r="PE2" s="3" t="inlineStr">
        <is>
          <t>NOC US Equity</t>
        </is>
      </c>
      <c r="QI2" s="3" t="inlineStr">
        <is>
          <t>nan Equity</t>
        </is>
      </c>
      <c r="RM2" s="3" t="inlineStr">
        <is>
          <t>LNWO US Equity</t>
        </is>
      </c>
      <c r="SQ2" s="3" t="inlineStr">
        <is>
          <t>XRAY US Equity</t>
        </is>
      </c>
      <c r="TU2" s="3" t="inlineStr">
        <is>
          <t>BPY-U CN Equity</t>
        </is>
      </c>
      <c r="UY2" s="3" t="inlineStr">
        <is>
          <t>PEB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BDS("GD US Equity","SUPPLY_CHAIN_SUPPLIERS_FULL_DATA")</f>
        <v/>
      </c>
      <c r="O5">
        <f>BDS("GD US Equity","SUPPLY_CHAIN_CUSTOMERS_FULL_DATA")</f>
        <v/>
      </c>
      <c r="AE5">
        <f>BDS("UGI US Equity","SUPPLY_CHAIN_SUPPLIERS_FULL_DATA")</f>
        <v/>
      </c>
      <c r="AS5">
        <f>BDS("UGI US Equity","SUPPLY_CHAIN_CUSTOMERS_FULL_DATA")</f>
        <v/>
      </c>
      <c r="BI5">
        <f>BDS("1005945D US Equity","SUPPLY_CHAIN_SUPPLIERS_FULL_DATA")</f>
        <v/>
      </c>
      <c r="BW5">
        <f>BDS("1005945D US Equity","SUPPLY_CHAIN_CUSTOMERS_FULL_DATA")</f>
        <v/>
      </c>
      <c r="CM5">
        <f>BDS("CEQP US Equity","SUPPLY_CHAIN_SUPPLIERS_FULL_DATA")</f>
        <v/>
      </c>
      <c r="DA5">
        <f>BDS("CEQP US Equity","SUPPLY_CHAIN_CUSTOMERS_FULL_DATA")</f>
        <v/>
      </c>
      <c r="DQ5">
        <f>BDS("TSLA US Equity","SUPPLY_CHAIN_SUPPLIERS_FULL_DATA")</f>
        <v/>
      </c>
      <c r="EE5">
        <f>BDS("TSLA US Equity","SUPPLY_CHAIN_CUSTOMERS_FULL_DATA")</f>
        <v/>
      </c>
      <c r="EU5">
        <f>BDS("MTB US Equity","SUPPLY_CHAIN_SUPPLIERS_FULL_DATA")</f>
        <v/>
      </c>
      <c r="FI5">
        <f>BDS("MTB US Equity","SUPPLY_CHAIN_CUSTOMERS_FULL_DATA")</f>
        <v/>
      </c>
      <c r="FY5">
        <f>BDS("PNC US Equity","SUPPLY_CHAIN_SUPPLIERS_FULL_DATA")</f>
        <v/>
      </c>
      <c r="GM5">
        <f>BDS("PNC US Equity","SUPPLY_CHAIN_CUSTOMERS_FULL_DATA")</f>
        <v/>
      </c>
      <c r="HC5">
        <f>BDS("GE US Equity","SUPPLY_CHAIN_SUPPLIERS_FULL_DATA")</f>
        <v/>
      </c>
      <c r="HQ5">
        <f>BDS("GE US Equity","SUPPLY_CHAIN_CUSTOMERS_FULL_DATA")</f>
        <v/>
      </c>
      <c r="IG5">
        <f>BDS("MTB US Equity","SUPPLY_CHAIN_SUPPLIERS_FULL_DATA")</f>
        <v/>
      </c>
      <c r="IU5">
        <f>BDS("MTB US Equity","SUPPLY_CHAIN_CUSTOMERS_FULL_DATA")</f>
        <v/>
      </c>
      <c r="JK5">
        <f>BDS("CSCO US Equity","SUPPLY_CHAIN_SUPPLIERS_FULL_DATA")</f>
        <v/>
      </c>
      <c r="JY5">
        <f>BDS("CSCO US Equity","SUPPLY_CHAIN_CUSTOMERS_FULL_DATA")</f>
        <v/>
      </c>
      <c r="KO5">
        <f>BDS("BKD US Equity","SUPPLY_CHAIN_SUPPLIERS_FULL_DATA")</f>
        <v/>
      </c>
      <c r="LC5">
        <f>BDS("BKD US Equity","SUPPLY_CHAIN_CUSTOMERS_FULL_DATA")</f>
        <v/>
      </c>
      <c r="LS5">
        <f>BDS("APC US Equity","SUPPLY_CHAIN_SUPPLIERS_FULL_DATA")</f>
        <v/>
      </c>
      <c r="MG5">
        <f>BDS("APC US Equity","SUPPLY_CHAIN_CUSTOMERS_FULL_DATA")</f>
        <v/>
      </c>
      <c r="MW5">
        <f>BDS("ROH US Equity","SUPPLY_CHAIN_SUPPLIERS_FULL_DATA")</f>
        <v/>
      </c>
      <c r="NK5">
        <f>BDS("ROH US Equity","SUPPLY_CHAIN_CUSTOMERS_FULL_DATA")</f>
        <v/>
      </c>
      <c r="OA5">
        <f>BDS("NGLS US Equity","SUPPLY_CHAIN_SUPPLIERS_FULL_DATA")</f>
        <v/>
      </c>
      <c r="OO5">
        <f>BDS("NGLS US Equity","SUPPLY_CHAIN_CUSTOMERS_FULL_DATA")</f>
        <v/>
      </c>
      <c r="PE5">
        <f>BDS("NOC US Equity","SUPPLY_CHAIN_SUPPLIERS_FULL_DATA")</f>
        <v/>
      </c>
      <c r="PS5">
        <f>BDS("NOC US Equity","SUPPLY_CHAIN_CUSTOMERS_FULL_DATA")</f>
        <v/>
      </c>
      <c r="QI5">
        <f>BDS("nan Equity","SUPPLY_CHAIN_SUPPLIERS_FULL_DATA")</f>
        <v/>
      </c>
      <c r="QW5">
        <f>BDS("nan Equity","SUPPLY_CHAIN_CUSTOMERS_FULL_DATA")</f>
        <v/>
      </c>
      <c r="RM5">
        <f>BDS("LNWO US Equity","SUPPLY_CHAIN_SUPPLIERS_FULL_DATA")</f>
        <v/>
      </c>
      <c r="SA5">
        <f>BDS("LNWO US Equity","SUPPLY_CHAIN_CUSTOMERS_FULL_DATA")</f>
        <v/>
      </c>
      <c r="SQ5">
        <f>BDS("XRAY US Equity","SUPPLY_CHAIN_SUPPLIERS_FULL_DATA")</f>
        <v/>
      </c>
      <c r="TE5">
        <f>BDS("XRAY US Equity","SUPPLY_CHAIN_CUSTOMERS_FULL_DATA")</f>
        <v/>
      </c>
      <c r="TU5">
        <f>BDS("BPY-U CN Equity","SUPPLY_CHAIN_SUPPLIERS_FULL_DATA")</f>
        <v/>
      </c>
      <c r="UI5">
        <f>BDS("BPY-U CN Equity","SUPPLY_CHAIN_CUSTOMERS_FULL_DATA")</f>
        <v/>
      </c>
      <c r="UY5">
        <f>BDS("PEB US Equity","SUPPLY_CHAIN_SUPPLIERS_FULL_DATA")</f>
        <v/>
      </c>
      <c r="VM5">
        <f>BDS("PEB US Equity","SUPPLY_CHAIN_CUSTOMERS_FULL_DATA")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SANM US Equity</t>
        </is>
      </c>
      <c r="AE2" s="3" t="inlineStr">
        <is>
          <t>VAC US Equity</t>
        </is>
      </c>
      <c r="BI2" s="3" t="inlineStr">
        <is>
          <t>BX US Equity</t>
        </is>
      </c>
      <c r="CM2" s="3" t="inlineStr">
        <is>
          <t>119240Q US Equity</t>
        </is>
      </c>
      <c r="DQ2" s="3" t="inlineStr">
        <is>
          <t>nan Equity</t>
        </is>
      </c>
      <c r="EU2" s="3" t="inlineStr">
        <is>
          <t>CMCSA US Equity</t>
        </is>
      </c>
      <c r="FY2" s="3" t="inlineStr">
        <is>
          <t>WRK US Equity</t>
        </is>
      </c>
      <c r="HC2" s="3" t="inlineStr">
        <is>
          <t>2968900Q US Equity</t>
        </is>
      </c>
      <c r="IG2" s="3" t="inlineStr">
        <is>
          <t>SYK US Equity</t>
        </is>
      </c>
      <c r="JK2" s="3" t="inlineStr">
        <is>
          <t>CVX US Equity</t>
        </is>
      </c>
      <c r="KO2" s="3" t="inlineStr">
        <is>
          <t>MAA US Equity</t>
        </is>
      </c>
      <c r="LS2" s="3" t="inlineStr">
        <is>
          <t>nan Equity</t>
        </is>
      </c>
      <c r="MW2" s="3" t="inlineStr">
        <is>
          <t>DVN US Equity</t>
        </is>
      </c>
      <c r="OA2" s="3" t="inlineStr">
        <is>
          <t>GE US Equity</t>
        </is>
      </c>
      <c r="PE2" s="3" t="inlineStr">
        <is>
          <t>0772031D US Equity</t>
        </is>
      </c>
      <c r="QI2" s="3" t="inlineStr">
        <is>
          <t>1235274D US Equity</t>
        </is>
      </c>
      <c r="RM2" s="3" t="inlineStr">
        <is>
          <t>TRGP US Equity</t>
        </is>
      </c>
      <c r="SQ2" s="3" t="inlineStr">
        <is>
          <t>nan Equity</t>
        </is>
      </c>
      <c r="TU2" s="3" t="inlineStr">
        <is>
          <t>SPB US Equity</t>
        </is>
      </c>
      <c r="UY2" s="3" t="inlineStr">
        <is>
          <t>CMX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BDS("SANM US Equity","SUPPLY_CHAIN_SUPPLIERS_FULL_DATA")</f>
        <v/>
      </c>
      <c r="O5">
        <f>BDS("SANM US Equity","SUPPLY_CHAIN_CUSTOMERS_FULL_DATA")</f>
        <v/>
      </c>
      <c r="AE5">
        <f>BDS("VAC US Equity","SUPPLY_CHAIN_SUPPLIERS_FULL_DATA")</f>
        <v/>
      </c>
      <c r="AS5">
        <f>BDS("VAC US Equity","SUPPLY_CHAIN_CUSTOMERS_FULL_DATA")</f>
        <v/>
      </c>
      <c r="BI5">
        <f>BDS("BX US Equity","SUPPLY_CHAIN_SUPPLIERS_FULL_DATA")</f>
        <v/>
      </c>
      <c r="BW5">
        <f>BDS("BX US Equity","SUPPLY_CHAIN_CUSTOMERS_FULL_DATA")</f>
        <v/>
      </c>
      <c r="CM5">
        <f>BDS("119240Q US Equity","SUPPLY_CHAIN_SUPPLIERS_FULL_DATA")</f>
        <v/>
      </c>
      <c r="DA5">
        <f>BDS("119240Q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BDS("CMCSA US Equity","SUPPLY_CHAIN_SUPPLIERS_FULL_DATA")</f>
        <v/>
      </c>
      <c r="FI5">
        <f>BDS("CMCSA US Equity","SUPPLY_CHAIN_CUSTOMERS_FULL_DATA")</f>
        <v/>
      </c>
      <c r="FY5">
        <f>BDS("WRK US Equity","SUPPLY_CHAIN_SUPPLIERS_FULL_DATA")</f>
        <v/>
      </c>
      <c r="GM5">
        <f>BDS("WRK US Equity","SUPPLY_CHAIN_CUSTOMERS_FULL_DATA")</f>
        <v/>
      </c>
      <c r="HC5">
        <f>BDS("2968900Q US Equity","SUPPLY_CHAIN_SUPPLIERS_FULL_DATA")</f>
        <v/>
      </c>
      <c r="HQ5">
        <f>BDS("2968900Q US Equity","SUPPLY_CHAIN_CUSTOMERS_FULL_DATA")</f>
        <v/>
      </c>
      <c r="IG5">
        <f>BDS("SYK US Equity","SUPPLY_CHAIN_SUPPLIERS_FULL_DATA")</f>
        <v/>
      </c>
      <c r="IU5">
        <f>BDS("SYK US Equity","SUPPLY_CHAIN_CUSTOMERS_FULL_DATA")</f>
        <v/>
      </c>
      <c r="JK5">
        <f>BDS("CVX US Equity","SUPPLY_CHAIN_SUPPLIERS_FULL_DATA")</f>
        <v/>
      </c>
      <c r="JY5">
        <f>BDS("CVX US Equity","SUPPLY_CHAIN_CUSTOMERS_FULL_DATA")</f>
        <v/>
      </c>
      <c r="KO5">
        <f>BDS("MAA US Equity","SUPPLY_CHAIN_SUPPLIERS_FULL_DATA")</f>
        <v/>
      </c>
      <c r="LC5">
        <f>BDS("MAA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BDS("DVN US Equity","SUPPLY_CHAIN_SUPPLIERS_FULL_DATA")</f>
        <v/>
      </c>
      <c r="NK5">
        <f>BDS("DVN US Equity","SUPPLY_CHAIN_CUSTOMERS_FULL_DATA")</f>
        <v/>
      </c>
      <c r="OA5">
        <f>BDS("GE US Equity","SUPPLY_CHAIN_SUPPLIERS_FULL_DATA")</f>
        <v/>
      </c>
      <c r="OO5">
        <f>BDS("GE US Equity","SUPPLY_CHAIN_CUSTOMERS_FULL_DATA")</f>
        <v/>
      </c>
      <c r="PE5">
        <f>BDS("0772031D US Equity","SUPPLY_CHAIN_SUPPLIERS_FULL_DATA")</f>
        <v/>
      </c>
      <c r="PS5">
        <f>BDS("0772031D US Equity","SUPPLY_CHAIN_CUSTOMERS_FULL_DATA")</f>
        <v/>
      </c>
      <c r="QI5">
        <f>BDS("1235274D US Equity","SUPPLY_CHAIN_SUPPLIERS_FULL_DATA")</f>
        <v/>
      </c>
      <c r="QW5">
        <f>BDS("1235274D US Equity","SUPPLY_CHAIN_CUSTOMERS_FULL_DATA")</f>
        <v/>
      </c>
      <c r="RM5">
        <f>BDS("TRGP US Equity","SUPPLY_CHAIN_SUPPLIERS_FULL_DATA")</f>
        <v/>
      </c>
      <c r="SA5">
        <f>BDS("TRGP US Equity","SUPPLY_CHAIN_CUSTOMERS_FULL_DATA")</f>
        <v/>
      </c>
      <c r="SQ5">
        <f>BDS("nan Equity","SUPPLY_CHAIN_SUPPLIERS_FULL_DATA")</f>
        <v/>
      </c>
      <c r="TE5">
        <f>BDS("nan Equity","SUPPLY_CHAIN_CUSTOMERS_FULL_DATA")</f>
        <v/>
      </c>
      <c r="TU5">
        <f>BDS("SPB US Equity","SUPPLY_CHAIN_SUPPLIERS_FULL_DATA")</f>
        <v/>
      </c>
      <c r="UI5">
        <f>BDS("SPB US Equity","SUPPLY_CHAIN_CUSTOMERS_FULL_DATA")</f>
        <v/>
      </c>
      <c r="UY5">
        <f>BDS("CMX US Equity","SUPPLY_CHAIN_SUPPLIERS_FULL_DATA")</f>
        <v/>
      </c>
      <c r="VM5">
        <f>BDS("CMX US Equity","SUPPLY_CHAIN_CUSTOMERS_FULL_DATA")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500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166783Q US Equity</t>
        </is>
      </c>
      <c r="AE2" s="3" t="inlineStr">
        <is>
          <t>ADELQ US Equity</t>
        </is>
      </c>
      <c r="BI2" s="3" t="inlineStr">
        <is>
          <t>MRCHQ US Equity</t>
        </is>
      </c>
      <c r="CM2" s="3" t="inlineStr">
        <is>
          <t>LHX US Equity</t>
        </is>
      </c>
      <c r="DQ2" s="3" t="inlineStr">
        <is>
          <t>ATHMQ US Equity</t>
        </is>
      </c>
      <c r="EU2" s="3" t="inlineStr">
        <is>
          <t>8394653Q US Equity</t>
        </is>
      </c>
      <c r="FY2" s="3" t="inlineStr">
        <is>
          <t>XEL US Equity</t>
        </is>
      </c>
      <c r="HC2" s="3" t="inlineStr">
        <is>
          <t>nan Equity</t>
        </is>
      </c>
      <c r="IG2" s="3" t="inlineStr">
        <is>
          <t>nan Equity</t>
        </is>
      </c>
      <c r="JK2" s="3" t="inlineStr">
        <is>
          <t>ATBA AV Equity</t>
        </is>
      </c>
      <c r="KO2" s="3" t="inlineStr">
        <is>
          <t>GE US Equity</t>
        </is>
      </c>
      <c r="LS2" s="3" t="inlineStr">
        <is>
          <t>AES US Equity</t>
        </is>
      </c>
      <c r="MW2" s="3" t="inlineStr">
        <is>
          <t>PSA US Equity</t>
        </is>
      </c>
      <c r="OA2" s="3" t="inlineStr">
        <is>
          <t>PFE US Equity</t>
        </is>
      </c>
      <c r="PE2" s="3" t="inlineStr">
        <is>
          <t>MS US Equity</t>
        </is>
      </c>
      <c r="QI2" s="3" t="inlineStr">
        <is>
          <t>EPD US Equity</t>
        </is>
      </c>
      <c r="RM2" s="3" t="inlineStr">
        <is>
          <t>WM US Equity</t>
        </is>
      </c>
      <c r="SQ2" s="3" t="inlineStr">
        <is>
          <t>AMAT US Equity</t>
        </is>
      </c>
      <c r="TU2" s="3" t="inlineStr">
        <is>
          <t>1051665D US Equity</t>
        </is>
      </c>
      <c r="UY2" s="3" t="inlineStr">
        <is>
          <t>ELV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BDS("166783Q US Equity","SUPPLY_CHAIN_SUPPLIERS_FULL_DATA")</f>
        <v/>
      </c>
      <c r="O5">
        <f>BDS("166783Q US Equity","SUPPLY_CHAIN_CUSTOMERS_FULL_DATA")</f>
        <v/>
      </c>
      <c r="AE5">
        <f>BDS("ADELQ US Equity","SUPPLY_CHAIN_SUPPLIERS_FULL_DATA")</f>
        <v/>
      </c>
      <c r="AS5">
        <f>BDS("ADELQ US Equity","SUPPLY_CHAIN_CUSTOMERS_FULL_DATA")</f>
        <v/>
      </c>
      <c r="BI5">
        <f>BDS("MRCHQ US Equity","SUPPLY_CHAIN_SUPPLIERS_FULL_DATA")</f>
        <v/>
      </c>
      <c r="BW5">
        <f>BDS("MRCHQ US Equity","SUPPLY_CHAIN_CUSTOMERS_FULL_DATA")</f>
        <v/>
      </c>
      <c r="CM5">
        <f>BDS("LHX US Equity","SUPPLY_CHAIN_SUPPLIERS_FULL_DATA")</f>
        <v/>
      </c>
      <c r="DA5">
        <f>BDS("LHX US Equity","SUPPLY_CHAIN_CUSTOMERS_FULL_DATA")</f>
        <v/>
      </c>
      <c r="DQ5">
        <f>BDS("ATHMQ US Equity","SUPPLY_CHAIN_SUPPLIERS_FULL_DATA")</f>
        <v/>
      </c>
      <c r="EE5">
        <f>BDS("ATHMQ US Equity","SUPPLY_CHAIN_CUSTOMERS_FULL_DATA")</f>
        <v/>
      </c>
      <c r="EU5">
        <f>BDS("8394653Q US Equity","SUPPLY_CHAIN_SUPPLIERS_FULL_DATA")</f>
        <v/>
      </c>
      <c r="FI5">
        <f>BDS("8394653Q US Equity","SUPPLY_CHAIN_CUSTOMERS_FULL_DATA")</f>
        <v/>
      </c>
      <c r="FY5">
        <f>BDS("XEL US Equity","SUPPLY_CHAIN_SUPPLIERS_FULL_DATA")</f>
        <v/>
      </c>
      <c r="GM5">
        <f>BDS("XEL US Equity","SUPPLY_CHAIN_CUSTOMERS_FULL_DATA")</f>
        <v/>
      </c>
      <c r="HC5">
        <f>BDS("nan Equity","SUPPLY_CHAIN_SUPPLIERS_FULL_DATA")</f>
        <v/>
      </c>
      <c r="HQ5">
        <f>BDS("nan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BDS("ATBA AV Equity","SUPPLY_CHAIN_SUPPLIERS_FULL_DATA")</f>
        <v/>
      </c>
      <c r="JY5">
        <f>BDS("ATBA AV Equity","SUPPLY_CHAIN_CUSTOMERS_FULL_DATA")</f>
        <v/>
      </c>
      <c r="KO5">
        <f>BDS("GE US Equity","SUPPLY_CHAIN_SUPPLIERS_FULL_DATA")</f>
        <v/>
      </c>
      <c r="LC5">
        <f>BDS("GE US Equity","SUPPLY_CHAIN_CUSTOMERS_FULL_DATA")</f>
        <v/>
      </c>
      <c r="LS5">
        <f>BDS("AES US Equity","SUPPLY_CHAIN_SUPPLIERS_FULL_DATA")</f>
        <v/>
      </c>
      <c r="MG5">
        <f>BDS("AES US Equity","SUPPLY_CHAIN_CUSTOMERS_FULL_DATA")</f>
        <v/>
      </c>
      <c r="MW5">
        <f>BDS("PSA US Equity","SUPPLY_CHAIN_SUPPLIERS_FULL_DATA")</f>
        <v/>
      </c>
      <c r="NK5">
        <f>BDS("PSA US Equity","SUPPLY_CHAIN_CUSTOMERS_FULL_DATA")</f>
        <v/>
      </c>
      <c r="OA5">
        <f>BDS("PFE US Equity","SUPPLY_CHAIN_SUPPLIERS_FULL_DATA")</f>
        <v/>
      </c>
      <c r="OO5">
        <f>BDS("PFE US Equity","SUPPLY_CHAIN_CUSTOMERS_FULL_DATA")</f>
        <v/>
      </c>
      <c r="PE5">
        <f>BDS("MS US Equity","SUPPLY_CHAIN_SUPPLIERS_FULL_DATA")</f>
        <v/>
      </c>
      <c r="PS5">
        <f>BDS("MS US Equity","SUPPLY_CHAIN_CUSTOMERS_FULL_DATA")</f>
        <v/>
      </c>
      <c r="QI5">
        <f>BDS("EPD US Equity","SUPPLY_CHAIN_SUPPLIERS_FULL_DATA")</f>
        <v/>
      </c>
      <c r="QW5">
        <f>BDS("EPD US Equity","SUPPLY_CHAIN_CUSTOMERS_FULL_DATA")</f>
        <v/>
      </c>
      <c r="RM5">
        <f>BDS("WM US Equity","SUPPLY_CHAIN_SUPPLIERS_FULL_DATA")</f>
        <v/>
      </c>
      <c r="SA5">
        <f>BDS("WM US Equity","SUPPLY_CHAIN_CUSTOMERS_FULL_DATA")</f>
        <v/>
      </c>
      <c r="SQ5">
        <f>BDS("AMAT US Equity","SUPPLY_CHAIN_SUPPLIERS_FULL_DATA")</f>
        <v/>
      </c>
      <c r="TE5">
        <f>BDS("AMAT US Equity","SUPPLY_CHAIN_CUSTOMERS_FULL_DATA")</f>
        <v/>
      </c>
      <c r="TU5">
        <f>BDS("1051665D US Equity","SUPPLY_CHAIN_SUPPLIERS_FULL_DATA")</f>
        <v/>
      </c>
      <c r="UI5">
        <f>BDS("1051665D US Equity","SUPPLY_CHAIN_CUSTOMERS_FULL_DATA")</f>
        <v/>
      </c>
      <c r="UY5">
        <f>BDS("ELV US Equity","SUPPLY_CHAIN_SUPPLIERS_FULL_DATA")</f>
        <v/>
      </c>
      <c r="VM5">
        <f>BDS("ELV US Equity","SUPPLY_CHAIN_CUSTOMERS_FULL_DATA")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501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502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503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504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505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506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507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508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509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510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511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512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513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514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515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516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517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518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519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520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UNM US Equity</t>
        </is>
      </c>
      <c r="AE2" s="3" t="inlineStr">
        <is>
          <t>T US Equity</t>
        </is>
      </c>
      <c r="BI2" s="3" t="inlineStr">
        <is>
          <t>BX US Equity</t>
        </is>
      </c>
      <c r="CM2" s="3" t="inlineStr">
        <is>
          <t>EMN US Equity</t>
        </is>
      </c>
      <c r="DQ2" s="3" t="inlineStr">
        <is>
          <t>VMC US Equity</t>
        </is>
      </c>
      <c r="EU2" s="3" t="inlineStr">
        <is>
          <t>FITB US Equity</t>
        </is>
      </c>
      <c r="FY2" s="3" t="inlineStr">
        <is>
          <t>2968900Q US Equity</t>
        </is>
      </c>
      <c r="HC2" s="3" t="inlineStr">
        <is>
          <t>PARA US Equity</t>
        </is>
      </c>
      <c r="IG2" s="3" t="inlineStr">
        <is>
          <t>ORCL US Equity</t>
        </is>
      </c>
      <c r="JK2" s="3" t="inlineStr">
        <is>
          <t>PFE US Equity</t>
        </is>
      </c>
      <c r="KO2" s="3" t="inlineStr">
        <is>
          <t>STT US Equity</t>
        </is>
      </c>
      <c r="LS2" s="3" t="inlineStr">
        <is>
          <t>HPQ US Equity</t>
        </is>
      </c>
      <c r="MW2" s="3" t="inlineStr">
        <is>
          <t>JNJ US Equity</t>
        </is>
      </c>
      <c r="OA2" s="3" t="inlineStr">
        <is>
          <t>MS US Equity</t>
        </is>
      </c>
      <c r="PE2" s="3" t="inlineStr">
        <is>
          <t>SWK US Equity</t>
        </is>
      </c>
      <c r="QI2" s="3" t="inlineStr">
        <is>
          <t>PTVE US Equity</t>
        </is>
      </c>
      <c r="RM2" s="3" t="inlineStr">
        <is>
          <t>BAC US Equity</t>
        </is>
      </c>
      <c r="SQ2" s="3" t="inlineStr">
        <is>
          <t>CSCO US Equity</t>
        </is>
      </c>
      <c r="TU2" s="3" t="inlineStr">
        <is>
          <t>LNCOQ US Equity</t>
        </is>
      </c>
      <c r="UY2" s="3" t="inlineStr">
        <is>
          <t>TSN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BDS("UNM US Equity","SUPPLY_CHAIN_SUPPLIERS_FULL_DATA")</f>
        <v/>
      </c>
      <c r="O5">
        <f>BDS("UNM US Equity","SUPPLY_CHAIN_CUSTOMERS_FULL_DATA")</f>
        <v/>
      </c>
      <c r="AE5">
        <f>BDS("T US Equity","SUPPLY_CHAIN_SUPPLIERS_FULL_DATA")</f>
        <v/>
      </c>
      <c r="AS5">
        <f>BDS("T US Equity","SUPPLY_CHAIN_CUSTOMERS_FULL_DATA")</f>
        <v/>
      </c>
      <c r="BI5">
        <f>BDS("BX US Equity","SUPPLY_CHAIN_SUPPLIERS_FULL_DATA")</f>
        <v/>
      </c>
      <c r="BW5">
        <f>BDS("BX US Equity","SUPPLY_CHAIN_CUSTOMERS_FULL_DATA")</f>
        <v/>
      </c>
      <c r="CM5">
        <f>BDS("EMN US Equity","SUPPLY_CHAIN_SUPPLIERS_FULL_DATA")</f>
        <v/>
      </c>
      <c r="DA5">
        <f>BDS("EMN US Equity","SUPPLY_CHAIN_CUSTOMERS_FULL_DATA")</f>
        <v/>
      </c>
      <c r="DQ5">
        <f>BDS("VMC US Equity","SUPPLY_CHAIN_SUPPLIERS_FULL_DATA")</f>
        <v/>
      </c>
      <c r="EE5">
        <f>BDS("VMC US Equity","SUPPLY_CHAIN_CUSTOMERS_FULL_DATA")</f>
        <v/>
      </c>
      <c r="EU5">
        <f>BDS("FITB US Equity","SUPPLY_CHAIN_SUPPLIERS_FULL_DATA")</f>
        <v/>
      </c>
      <c r="FI5">
        <f>BDS("FITB US Equity","SUPPLY_CHAIN_CUSTOMERS_FULL_DATA")</f>
        <v/>
      </c>
      <c r="FY5">
        <f>BDS("2968900Q US Equity","SUPPLY_CHAIN_SUPPLIERS_FULL_DATA")</f>
        <v/>
      </c>
      <c r="GM5">
        <f>BDS("2968900Q US Equity","SUPPLY_CHAIN_CUSTOMERS_FULL_DATA")</f>
        <v/>
      </c>
      <c r="HC5">
        <f>BDS("PARA US Equity","SUPPLY_CHAIN_SUPPLIERS_FULL_DATA")</f>
        <v/>
      </c>
      <c r="HQ5">
        <f>BDS("PARA US Equity","SUPPLY_CHAIN_CUSTOMERS_FULL_DATA")</f>
        <v/>
      </c>
      <c r="IG5">
        <f>BDS("ORCL US Equity","SUPPLY_CHAIN_SUPPLIERS_FULL_DATA")</f>
        <v/>
      </c>
      <c r="IU5">
        <f>BDS("ORCL US Equity","SUPPLY_CHAIN_CUSTOMERS_FULL_DATA")</f>
        <v/>
      </c>
      <c r="JK5">
        <f>BDS("PFE US Equity","SUPPLY_CHAIN_SUPPLIERS_FULL_DATA")</f>
        <v/>
      </c>
      <c r="JY5">
        <f>BDS("PFE US Equity","SUPPLY_CHAIN_CUSTOMERS_FULL_DATA")</f>
        <v/>
      </c>
      <c r="KO5">
        <f>BDS("STT US Equity","SUPPLY_CHAIN_SUPPLIERS_FULL_DATA")</f>
        <v/>
      </c>
      <c r="LC5">
        <f>BDS("STT US Equity","SUPPLY_CHAIN_CUSTOMERS_FULL_DATA")</f>
        <v/>
      </c>
      <c r="LS5">
        <f>BDS("HPQ US Equity","SUPPLY_CHAIN_SUPPLIERS_FULL_DATA")</f>
        <v/>
      </c>
      <c r="MG5">
        <f>BDS("HPQ US Equity","SUPPLY_CHAIN_CUSTOMERS_FULL_DATA")</f>
        <v/>
      </c>
      <c r="MW5">
        <f>BDS("JNJ US Equity","SUPPLY_CHAIN_SUPPLIERS_FULL_DATA")</f>
        <v/>
      </c>
      <c r="NK5">
        <f>BDS("JNJ US Equity","SUPPLY_CHAIN_CUSTOMERS_FULL_DATA")</f>
        <v/>
      </c>
      <c r="OA5">
        <f>BDS("MS US Equity","SUPPLY_CHAIN_SUPPLIERS_FULL_DATA")</f>
        <v/>
      </c>
      <c r="OO5">
        <f>BDS("MS US Equity","SUPPLY_CHAIN_CUSTOMERS_FULL_DATA")</f>
        <v/>
      </c>
      <c r="PE5">
        <f>BDS("SWK US Equity","SUPPLY_CHAIN_SUPPLIERS_FULL_DATA")</f>
        <v/>
      </c>
      <c r="PS5">
        <f>BDS("SWK US Equity","SUPPLY_CHAIN_CUSTOMERS_FULL_DATA")</f>
        <v/>
      </c>
      <c r="QI5">
        <f>BDS("PTVE US Equity","SUPPLY_CHAIN_SUPPLIERS_FULL_DATA")</f>
        <v/>
      </c>
      <c r="QW5">
        <f>BDS("PTVE US Equity","SUPPLY_CHAIN_CUSTOMERS_FULL_DATA")</f>
        <v/>
      </c>
      <c r="RM5">
        <f>BDS("BAC US Equity","SUPPLY_CHAIN_SUPPLIERS_FULL_DATA")</f>
        <v/>
      </c>
      <c r="SA5">
        <f>BDS("BAC US Equity","SUPPLY_CHAIN_CUSTOMERS_FULL_DATA")</f>
        <v/>
      </c>
      <c r="SQ5">
        <f>BDS("CSCO US Equity","SUPPLY_CHAIN_SUPPLIERS_FULL_DATA")</f>
        <v/>
      </c>
      <c r="TE5">
        <f>BDS("CSCO US Equity","SUPPLY_CHAIN_CUSTOMERS_FULL_DATA")</f>
        <v/>
      </c>
      <c r="TU5">
        <f>BDS("LNCOQ US Equity","SUPPLY_CHAIN_SUPPLIERS_FULL_DATA")</f>
        <v/>
      </c>
      <c r="UI5">
        <f>BDS("LNCOQ US Equity","SUPPLY_CHAIN_CUSTOMERS_FULL_DATA")</f>
        <v/>
      </c>
      <c r="UY5">
        <f>BDS("TSN US Equity","SUPPLY_CHAIN_SUPPLIERS_FULL_DATA")</f>
        <v/>
      </c>
      <c r="VM5">
        <f>BDS("TSN US Equity","SUPPLY_CHAIN_CUSTOMERS_FULL_DATA")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521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522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523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524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525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526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527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528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529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530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531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532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533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534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535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536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537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538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539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540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PH US Equity</t>
        </is>
      </c>
      <c r="AE2" s="3" t="inlineStr">
        <is>
          <t>RRC US Equity</t>
        </is>
      </c>
      <c r="BI2" s="3" t="inlineStr">
        <is>
          <t>CF US Equity</t>
        </is>
      </c>
      <c r="CM2" s="3" t="inlineStr">
        <is>
          <t>FIS US Equity</t>
        </is>
      </c>
      <c r="DQ2" s="3" t="inlineStr">
        <is>
          <t>166783Q US Equity</t>
        </is>
      </c>
      <c r="EU2" s="3" t="inlineStr">
        <is>
          <t>IP US Equity</t>
        </is>
      </c>
      <c r="FY2" s="3" t="inlineStr">
        <is>
          <t>TCF US Equity</t>
        </is>
      </c>
      <c r="HC2" s="3" t="inlineStr">
        <is>
          <t>0616747D US Equity</t>
        </is>
      </c>
      <c r="IG2" s="3" t="inlineStr">
        <is>
          <t>DCNAQ US Equity</t>
        </is>
      </c>
      <c r="JK2" s="3" t="inlineStr">
        <is>
          <t>GILD US Equity</t>
        </is>
      </c>
      <c r="KO2" s="3" t="inlineStr">
        <is>
          <t>NRG US Equity</t>
        </is>
      </c>
      <c r="LS2" s="3" t="inlineStr">
        <is>
          <t>EXPE US Equity</t>
        </is>
      </c>
      <c r="MW2" s="3" t="inlineStr">
        <is>
          <t>K US Equity</t>
        </is>
      </c>
      <c r="OA2" s="3" t="inlineStr">
        <is>
          <t>OLN US Equity</t>
        </is>
      </c>
      <c r="PE2" s="3" t="inlineStr">
        <is>
          <t>BA US Equity</t>
        </is>
      </c>
      <c r="QI2" s="3" t="inlineStr">
        <is>
          <t>STE US Equity</t>
        </is>
      </c>
      <c r="RM2" s="3" t="inlineStr">
        <is>
          <t>TDY US Equity</t>
        </is>
      </c>
      <c r="SQ2" s="3" t="inlineStr">
        <is>
          <t>WCC US Equity</t>
        </is>
      </c>
      <c r="TU2" s="3" t="inlineStr">
        <is>
          <t>GPN US Equity</t>
        </is>
      </c>
      <c r="UY2" s="3" t="inlineStr">
        <is>
          <t>CCT CN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BDS("PH US Equity","SUPPLY_CHAIN_SUPPLIERS_FULL_DATA")</f>
        <v/>
      </c>
      <c r="O5">
        <f>BDS("PH US Equity","SUPPLY_CHAIN_CUSTOMERS_FULL_DATA")</f>
        <v/>
      </c>
      <c r="AE5">
        <f>BDS("RRC US Equity","SUPPLY_CHAIN_SUPPLIERS_FULL_DATA")</f>
        <v/>
      </c>
      <c r="AS5">
        <f>BDS("RRC US Equity","SUPPLY_CHAIN_CUSTOMERS_FULL_DATA")</f>
        <v/>
      </c>
      <c r="BI5">
        <f>BDS("CF US Equity","SUPPLY_CHAIN_SUPPLIERS_FULL_DATA")</f>
        <v/>
      </c>
      <c r="BW5">
        <f>BDS("CF US Equity","SUPPLY_CHAIN_CUSTOMERS_FULL_DATA")</f>
        <v/>
      </c>
      <c r="CM5">
        <f>BDS("FIS US Equity","SUPPLY_CHAIN_SUPPLIERS_FULL_DATA")</f>
        <v/>
      </c>
      <c r="DA5">
        <f>BDS("FIS US Equity","SUPPLY_CHAIN_CUSTOMERS_FULL_DATA")</f>
        <v/>
      </c>
      <c r="DQ5">
        <f>BDS("166783Q US Equity","SUPPLY_CHAIN_SUPPLIERS_FULL_DATA")</f>
        <v/>
      </c>
      <c r="EE5">
        <f>BDS("166783Q US Equity","SUPPLY_CHAIN_CUSTOMERS_FULL_DATA")</f>
        <v/>
      </c>
      <c r="EU5">
        <f>BDS("IP US Equity","SUPPLY_CHAIN_SUPPLIERS_FULL_DATA")</f>
        <v/>
      </c>
      <c r="FI5">
        <f>BDS("IP US Equity","SUPPLY_CHAIN_CUSTOMERS_FULL_DATA")</f>
        <v/>
      </c>
      <c r="FY5">
        <f>BDS("TCF US Equity","SUPPLY_CHAIN_SUPPLIERS_FULL_DATA")</f>
        <v/>
      </c>
      <c r="GM5">
        <f>BDS("TCF US Equity","SUPPLY_CHAIN_CUSTOMERS_FULL_DATA")</f>
        <v/>
      </c>
      <c r="HC5">
        <f>BDS("0616747D US Equity","SUPPLY_CHAIN_SUPPLIERS_FULL_DATA")</f>
        <v/>
      </c>
      <c r="HQ5">
        <f>BDS("0616747D US Equity","SUPPLY_CHAIN_CUSTOMERS_FULL_DATA")</f>
        <v/>
      </c>
      <c r="IG5">
        <f>BDS("DCNAQ US Equity","SUPPLY_CHAIN_SUPPLIERS_FULL_DATA")</f>
        <v/>
      </c>
      <c r="IU5">
        <f>BDS("DCNAQ US Equity","SUPPLY_CHAIN_CUSTOMERS_FULL_DATA")</f>
        <v/>
      </c>
      <c r="JK5">
        <f>BDS("GILD US Equity","SUPPLY_CHAIN_SUPPLIERS_FULL_DATA")</f>
        <v/>
      </c>
      <c r="JY5">
        <f>BDS("GILD US Equity","SUPPLY_CHAIN_CUSTOMERS_FULL_DATA")</f>
        <v/>
      </c>
      <c r="KO5">
        <f>BDS("NRG US Equity","SUPPLY_CHAIN_SUPPLIERS_FULL_DATA")</f>
        <v/>
      </c>
      <c r="LC5">
        <f>BDS("NRG US Equity","SUPPLY_CHAIN_CUSTOMERS_FULL_DATA")</f>
        <v/>
      </c>
      <c r="LS5">
        <f>BDS("EXPE US Equity","SUPPLY_CHAIN_SUPPLIERS_FULL_DATA")</f>
        <v/>
      </c>
      <c r="MG5">
        <f>BDS("EXPE US Equity","SUPPLY_CHAIN_CUSTOMERS_FULL_DATA")</f>
        <v/>
      </c>
      <c r="MW5">
        <f>BDS("K US Equity","SUPPLY_CHAIN_SUPPLIERS_FULL_DATA")</f>
        <v/>
      </c>
      <c r="NK5">
        <f>BDS("K US Equity","SUPPLY_CHAIN_CUSTOMERS_FULL_DATA")</f>
        <v/>
      </c>
      <c r="OA5">
        <f>BDS("OLN US Equity","SUPPLY_CHAIN_SUPPLIERS_FULL_DATA")</f>
        <v/>
      </c>
      <c r="OO5">
        <f>BDS("OLN US Equity","SUPPLY_CHAIN_CUSTOMERS_FULL_DATA")</f>
        <v/>
      </c>
      <c r="PE5">
        <f>BDS("BA US Equity","SUPPLY_CHAIN_SUPPLIERS_FULL_DATA")</f>
        <v/>
      </c>
      <c r="PS5">
        <f>BDS("BA US Equity","SUPPLY_CHAIN_CUSTOMERS_FULL_DATA")</f>
        <v/>
      </c>
      <c r="QI5">
        <f>BDS("STE US Equity","SUPPLY_CHAIN_SUPPLIERS_FULL_DATA")</f>
        <v/>
      </c>
      <c r="QW5">
        <f>BDS("STE US Equity","SUPPLY_CHAIN_CUSTOMERS_FULL_DATA")</f>
        <v/>
      </c>
      <c r="RM5">
        <f>BDS("TDY US Equity","SUPPLY_CHAIN_SUPPLIERS_FULL_DATA")</f>
        <v/>
      </c>
      <c r="SA5">
        <f>BDS("TDY US Equity","SUPPLY_CHAIN_CUSTOMERS_FULL_DATA")</f>
        <v/>
      </c>
      <c r="SQ5">
        <f>BDS("WCC US Equity","SUPPLY_CHAIN_SUPPLIERS_FULL_DATA")</f>
        <v/>
      </c>
      <c r="TE5">
        <f>BDS("WCC US Equity","SUPPLY_CHAIN_CUSTOMERS_FULL_DATA")</f>
        <v/>
      </c>
      <c r="TU5">
        <f>BDS("GPN US Equity","SUPPLY_CHAIN_SUPPLIERS_FULL_DATA")</f>
        <v/>
      </c>
      <c r="UI5">
        <f>BDS("GPN US Equity","SUPPLY_CHAIN_CUSTOMERS_FULL_DATA")</f>
        <v/>
      </c>
      <c r="UY5">
        <f>BDS("CCT CN Equity","SUPPLY_CHAIN_SUPPLIERS_FULL_DATA")</f>
        <v/>
      </c>
      <c r="VM5">
        <f>BDS("CCT CN Equity","SUPPLY_CHAIN_CUSTOMERS_FULL_DATA")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541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542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543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544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545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546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547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548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549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550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551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552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553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554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555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556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557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558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559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560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OXY US Equity</t>
        </is>
      </c>
      <c r="AE2" s="3" t="inlineStr">
        <is>
          <t>STRZ US Equity</t>
        </is>
      </c>
      <c r="BI2" s="3" t="inlineStr">
        <is>
          <t>KMP US Equity</t>
        </is>
      </c>
      <c r="CM2" s="3" t="inlineStr">
        <is>
          <t>196850Q US Equity</t>
        </is>
      </c>
      <c r="DQ2" s="3" t="inlineStr">
        <is>
          <t>EPD US Equity</t>
        </is>
      </c>
      <c r="EU2" s="3" t="inlineStr">
        <is>
          <t>TSN US Equity</t>
        </is>
      </c>
      <c r="FY2" s="3" t="inlineStr">
        <is>
          <t>nan Equity</t>
        </is>
      </c>
      <c r="HC2" s="3" t="inlineStr">
        <is>
          <t>TMO US Equity</t>
        </is>
      </c>
      <c r="IG2" s="3" t="inlineStr">
        <is>
          <t>DEN US Equity</t>
        </is>
      </c>
      <c r="JK2" s="3" t="inlineStr">
        <is>
          <t>T US Equity</t>
        </is>
      </c>
      <c r="KO2" s="3" t="inlineStr">
        <is>
          <t>1023761D US Equity</t>
        </is>
      </c>
      <c r="LS2" s="3" t="inlineStr">
        <is>
          <t>MAA US Equity</t>
        </is>
      </c>
      <c r="MW2" s="3" t="inlineStr">
        <is>
          <t>SBRA US Equity</t>
        </is>
      </c>
      <c r="OA2" s="3" t="inlineStr">
        <is>
          <t>0848680D US Equity</t>
        </is>
      </c>
      <c r="PE2" s="3" t="inlineStr">
        <is>
          <t>VZ US Equity</t>
        </is>
      </c>
      <c r="QI2" s="3" t="inlineStr">
        <is>
          <t>TGE US Equity</t>
        </is>
      </c>
      <c r="RM2" s="3" t="inlineStr">
        <is>
          <t>FISV US Equity</t>
        </is>
      </c>
      <c r="SQ2" s="3" t="inlineStr">
        <is>
          <t>KEY US Equity</t>
        </is>
      </c>
      <c r="TU2" s="3" t="inlineStr">
        <is>
          <t>TDG US Equity</t>
        </is>
      </c>
      <c r="UY2" s="3" t="inlineStr">
        <is>
          <t>CG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BDS("OXY US Equity","SUPPLY_CHAIN_SUPPLIERS_FULL_DATA")</f>
        <v/>
      </c>
      <c r="O5">
        <f>BDS("OXY US Equity","SUPPLY_CHAIN_CUSTOMERS_FULL_DATA")</f>
        <v/>
      </c>
      <c r="AE5">
        <f>BDS("STRZ US Equity","SUPPLY_CHAIN_SUPPLIERS_FULL_DATA")</f>
        <v/>
      </c>
      <c r="AS5">
        <f>BDS("STRZ US Equity","SUPPLY_CHAIN_CUSTOMERS_FULL_DATA")</f>
        <v/>
      </c>
      <c r="BI5">
        <f>BDS("KMP US Equity","SUPPLY_CHAIN_SUPPLIERS_FULL_DATA")</f>
        <v/>
      </c>
      <c r="BW5">
        <f>BDS("KMP US Equity","SUPPLY_CHAIN_CUSTOMERS_FULL_DATA")</f>
        <v/>
      </c>
      <c r="CM5">
        <f>BDS("196850Q US Equity","SUPPLY_CHAIN_SUPPLIERS_FULL_DATA")</f>
        <v/>
      </c>
      <c r="DA5">
        <f>BDS("196850Q US Equity","SUPPLY_CHAIN_CUSTOMERS_FULL_DATA")</f>
        <v/>
      </c>
      <c r="DQ5">
        <f>BDS("EPD US Equity","SUPPLY_CHAIN_SUPPLIERS_FULL_DATA")</f>
        <v/>
      </c>
      <c r="EE5">
        <f>BDS("EPD US Equity","SUPPLY_CHAIN_CUSTOMERS_FULL_DATA")</f>
        <v/>
      </c>
      <c r="EU5">
        <f>BDS("TSN US Equity","SUPPLY_CHAIN_SUPPLIERS_FULL_DATA")</f>
        <v/>
      </c>
      <c r="FI5">
        <f>BDS("TSN US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BDS("TMO US Equity","SUPPLY_CHAIN_SUPPLIERS_FULL_DATA")</f>
        <v/>
      </c>
      <c r="HQ5">
        <f>BDS("TMO US Equity","SUPPLY_CHAIN_CUSTOMERS_FULL_DATA")</f>
        <v/>
      </c>
      <c r="IG5">
        <f>BDS("DEN US Equity","SUPPLY_CHAIN_SUPPLIERS_FULL_DATA")</f>
        <v/>
      </c>
      <c r="IU5">
        <f>BDS("DEN US Equity","SUPPLY_CHAIN_CUSTOMERS_FULL_DATA")</f>
        <v/>
      </c>
      <c r="JK5">
        <f>BDS("T US Equity","SUPPLY_CHAIN_SUPPLIERS_FULL_DATA")</f>
        <v/>
      </c>
      <c r="JY5">
        <f>BDS("T US Equity","SUPPLY_CHAIN_CUSTOMERS_FULL_DATA")</f>
        <v/>
      </c>
      <c r="KO5">
        <f>BDS("1023761D US Equity","SUPPLY_CHAIN_SUPPLIERS_FULL_DATA")</f>
        <v/>
      </c>
      <c r="LC5">
        <f>BDS("1023761D US Equity","SUPPLY_CHAIN_CUSTOMERS_FULL_DATA")</f>
        <v/>
      </c>
      <c r="LS5">
        <f>BDS("MAA US Equity","SUPPLY_CHAIN_SUPPLIERS_FULL_DATA")</f>
        <v/>
      </c>
      <c r="MG5">
        <f>BDS("MAA US Equity","SUPPLY_CHAIN_CUSTOMERS_FULL_DATA")</f>
        <v/>
      </c>
      <c r="MW5">
        <f>BDS("SBRA US Equity","SUPPLY_CHAIN_SUPPLIERS_FULL_DATA")</f>
        <v/>
      </c>
      <c r="NK5">
        <f>BDS("SBRA US Equity","SUPPLY_CHAIN_CUSTOMERS_FULL_DATA")</f>
        <v/>
      </c>
      <c r="OA5">
        <f>BDS("0848680D US Equity","SUPPLY_CHAIN_SUPPLIERS_FULL_DATA")</f>
        <v/>
      </c>
      <c r="OO5">
        <f>BDS("0848680D US Equity","SUPPLY_CHAIN_CUSTOMERS_FULL_DATA")</f>
        <v/>
      </c>
      <c r="PE5">
        <f>BDS("VZ US Equity","SUPPLY_CHAIN_SUPPLIERS_FULL_DATA")</f>
        <v/>
      </c>
      <c r="PS5">
        <f>BDS("VZ US Equity","SUPPLY_CHAIN_CUSTOMERS_FULL_DATA")</f>
        <v/>
      </c>
      <c r="QI5">
        <f>BDS("TGE US Equity","SUPPLY_CHAIN_SUPPLIERS_FULL_DATA")</f>
        <v/>
      </c>
      <c r="QW5">
        <f>BDS("TGE US Equity","SUPPLY_CHAIN_CUSTOMERS_FULL_DATA")</f>
        <v/>
      </c>
      <c r="RM5">
        <f>BDS("FISV US Equity","SUPPLY_CHAIN_SUPPLIERS_FULL_DATA")</f>
        <v/>
      </c>
      <c r="SA5">
        <f>BDS("FISV US Equity","SUPPLY_CHAIN_CUSTOMERS_FULL_DATA")</f>
        <v/>
      </c>
      <c r="SQ5">
        <f>BDS("KEY US Equity","SUPPLY_CHAIN_SUPPLIERS_FULL_DATA")</f>
        <v/>
      </c>
      <c r="TE5">
        <f>BDS("KEY US Equity","SUPPLY_CHAIN_CUSTOMERS_FULL_DATA")</f>
        <v/>
      </c>
      <c r="TU5">
        <f>BDS("TDG US Equity","SUPPLY_CHAIN_SUPPLIERS_FULL_DATA")</f>
        <v/>
      </c>
      <c r="UI5">
        <f>BDS("TDG US Equity","SUPPLY_CHAIN_CUSTOMERS_FULL_DATA")</f>
        <v/>
      </c>
      <c r="UY5">
        <f>BDS("CG US Equity","SUPPLY_CHAIN_SUPPLIERS_FULL_DATA")</f>
        <v/>
      </c>
      <c r="VM5">
        <f>BDS("CG US Equity","SUPPLY_CHAIN_CUSTOMERS_FULL_DATA")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561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562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563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564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565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566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567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568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569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570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571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572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573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574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575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576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577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578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579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580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AWE US Equity</t>
        </is>
      </c>
      <c r="AE2" s="3" t="inlineStr">
        <is>
          <t>TMUS US Equity</t>
        </is>
      </c>
      <c r="BI2" s="3" t="inlineStr">
        <is>
          <t>0910150D US Equity</t>
        </is>
      </c>
      <c r="CM2" s="3" t="inlineStr">
        <is>
          <t>PEP US Equity</t>
        </is>
      </c>
      <c r="DQ2" s="3" t="inlineStr">
        <is>
          <t>NBL US Equity</t>
        </is>
      </c>
      <c r="EU2" s="3" t="inlineStr">
        <is>
          <t>ORCL US Equity</t>
        </is>
      </c>
      <c r="FY2" s="3" t="inlineStr">
        <is>
          <t>1813626D US Equity</t>
        </is>
      </c>
      <c r="HC2" s="3" t="inlineStr">
        <is>
          <t>ASFZ US Equity</t>
        </is>
      </c>
      <c r="IG2" s="3" t="inlineStr">
        <is>
          <t>DHR US Equity</t>
        </is>
      </c>
      <c r="JK2" s="3" t="inlineStr">
        <is>
          <t>nan Equity</t>
        </is>
      </c>
      <c r="KO2" s="3" t="inlineStr">
        <is>
          <t>WPGGQ US Equity</t>
        </is>
      </c>
      <c r="LS2" s="3" t="inlineStr">
        <is>
          <t>KIM US Equity</t>
        </is>
      </c>
      <c r="MW2" s="3" t="inlineStr">
        <is>
          <t>329802Q US Equity</t>
        </is>
      </c>
      <c r="OA2" s="3" t="inlineStr">
        <is>
          <t>nan Equity</t>
        </is>
      </c>
      <c r="PE2" s="3" t="inlineStr">
        <is>
          <t>MAT US Equity</t>
        </is>
      </c>
      <c r="QI2" s="3" t="inlineStr">
        <is>
          <t>DIS US Equity</t>
        </is>
      </c>
      <c r="RM2" s="3" t="inlineStr">
        <is>
          <t>4134807Q US Equity</t>
        </is>
      </c>
      <c r="SQ2" s="3" t="inlineStr">
        <is>
          <t>MDT US Equity</t>
        </is>
      </c>
      <c r="TU2" s="3" t="inlineStr">
        <is>
          <t>nan Equity</t>
        </is>
      </c>
      <c r="UY2" s="3" t="inlineStr">
        <is>
          <t>CI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BDS("AWE US Equity","SUPPLY_CHAIN_SUPPLIERS_FULL_DATA")</f>
        <v/>
      </c>
      <c r="O5">
        <f>BDS("AWE US Equity","SUPPLY_CHAIN_CUSTOMERS_FULL_DATA")</f>
        <v/>
      </c>
      <c r="AE5">
        <f>BDS("TMUS US Equity","SUPPLY_CHAIN_SUPPLIERS_FULL_DATA")</f>
        <v/>
      </c>
      <c r="AS5">
        <f>BDS("TMUS US Equity","SUPPLY_CHAIN_CUSTOMERS_FULL_DATA")</f>
        <v/>
      </c>
      <c r="BI5">
        <f>BDS("0910150D US Equity","SUPPLY_CHAIN_SUPPLIERS_FULL_DATA")</f>
        <v/>
      </c>
      <c r="BW5">
        <f>BDS("0910150D US Equity","SUPPLY_CHAIN_CUSTOMERS_FULL_DATA")</f>
        <v/>
      </c>
      <c r="CM5">
        <f>BDS("PEP US Equity","SUPPLY_CHAIN_SUPPLIERS_FULL_DATA")</f>
        <v/>
      </c>
      <c r="DA5">
        <f>BDS("PEP US Equity","SUPPLY_CHAIN_CUSTOMERS_FULL_DATA")</f>
        <v/>
      </c>
      <c r="DQ5">
        <f>BDS("NBL US Equity","SUPPLY_CHAIN_SUPPLIERS_FULL_DATA")</f>
        <v/>
      </c>
      <c r="EE5">
        <f>BDS("NBL US Equity","SUPPLY_CHAIN_CUSTOMERS_FULL_DATA")</f>
        <v/>
      </c>
      <c r="EU5">
        <f>BDS("ORCL US Equity","SUPPLY_CHAIN_SUPPLIERS_FULL_DATA")</f>
        <v/>
      </c>
      <c r="FI5">
        <f>BDS("ORCL US Equity","SUPPLY_CHAIN_CUSTOMERS_FULL_DATA")</f>
        <v/>
      </c>
      <c r="FY5">
        <f>BDS("1813626D US Equity","SUPPLY_CHAIN_SUPPLIERS_FULL_DATA")</f>
        <v/>
      </c>
      <c r="GM5">
        <f>BDS("1813626D US Equity","SUPPLY_CHAIN_CUSTOMERS_FULL_DATA")</f>
        <v/>
      </c>
      <c r="HC5">
        <f>BDS("ASFZ US Equity","SUPPLY_CHAIN_SUPPLIERS_FULL_DATA")</f>
        <v/>
      </c>
      <c r="HQ5">
        <f>BDS("ASFZ US Equity","SUPPLY_CHAIN_CUSTOMERS_FULL_DATA")</f>
        <v/>
      </c>
      <c r="IG5">
        <f>BDS("DHR US Equity","SUPPLY_CHAIN_SUPPLIERS_FULL_DATA")</f>
        <v/>
      </c>
      <c r="IU5">
        <f>BDS("DHR US Equity","SUPPLY_CHAIN_CUSTOMERS_FULL_DATA")</f>
        <v/>
      </c>
      <c r="JK5">
        <f>BDS("nan Equity","SUPPLY_CHAIN_SUPPLIERS_FULL_DATA")</f>
        <v/>
      </c>
      <c r="JY5">
        <f>BDS("nan Equity","SUPPLY_CHAIN_CUSTOMERS_FULL_DATA")</f>
        <v/>
      </c>
      <c r="KO5">
        <f>BDS("WPGGQ US Equity","SUPPLY_CHAIN_SUPPLIERS_FULL_DATA")</f>
        <v/>
      </c>
      <c r="LC5">
        <f>BDS("WPGGQ US Equity","SUPPLY_CHAIN_CUSTOMERS_FULL_DATA")</f>
        <v/>
      </c>
      <c r="LS5">
        <f>BDS("KIM US Equity","SUPPLY_CHAIN_SUPPLIERS_FULL_DATA")</f>
        <v/>
      </c>
      <c r="MG5">
        <f>BDS("KIM US Equity","SUPPLY_CHAIN_CUSTOMERS_FULL_DATA")</f>
        <v/>
      </c>
      <c r="MW5">
        <f>BDS("329802Q US Equity","SUPPLY_CHAIN_SUPPLIERS_FULL_DATA")</f>
        <v/>
      </c>
      <c r="NK5">
        <f>BDS("329802Q US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BDS("MAT US Equity","SUPPLY_CHAIN_SUPPLIERS_FULL_DATA")</f>
        <v/>
      </c>
      <c r="PS5">
        <f>BDS("MAT US Equity","SUPPLY_CHAIN_CUSTOMERS_FULL_DATA")</f>
        <v/>
      </c>
      <c r="QI5">
        <f>BDS("DIS US Equity","SUPPLY_CHAIN_SUPPLIERS_FULL_DATA")</f>
        <v/>
      </c>
      <c r="QW5">
        <f>BDS("DIS US Equity","SUPPLY_CHAIN_CUSTOMERS_FULL_DATA")</f>
        <v/>
      </c>
      <c r="RM5">
        <f>BDS("4134807Q US Equity","SUPPLY_CHAIN_SUPPLIERS_FULL_DATA")</f>
        <v/>
      </c>
      <c r="SA5">
        <f>BDS("4134807Q US Equity","SUPPLY_CHAIN_CUSTOMERS_FULL_DATA")</f>
        <v/>
      </c>
      <c r="SQ5">
        <f>BDS("MDT US Equity","SUPPLY_CHAIN_SUPPLIERS_FULL_DATA")</f>
        <v/>
      </c>
      <c r="TE5">
        <f>BDS("MDT US Equity","SUPPLY_CHAIN_CUSTOMERS_FULL_DATA")</f>
        <v/>
      </c>
      <c r="TU5">
        <f>BDS("nan Equity","SUPPLY_CHAIN_SUPPLIERS_FULL_DATA")</f>
        <v/>
      </c>
      <c r="UI5">
        <f>BDS("nan Equity","SUPPLY_CHAIN_CUSTOMERS_FULL_DATA")</f>
        <v/>
      </c>
      <c r="UY5">
        <f>BDS("CI US Equity","SUPPLY_CHAIN_SUPPLIERS_FULL_DATA")</f>
        <v/>
      </c>
      <c r="VM5">
        <f>BDS("CI US Equity","SUPPLY_CHAIN_CUSTOMERS_FULL_DATA")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581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582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583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584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585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586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587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588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589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590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591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592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593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594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595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596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597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598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599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600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ITW US Equity</t>
        </is>
      </c>
      <c r="AE2" s="3" t="inlineStr">
        <is>
          <t>9990302D US Equity</t>
        </is>
      </c>
      <c r="BI2" s="3" t="inlineStr">
        <is>
          <t>CMCSA US Equity</t>
        </is>
      </c>
      <c r="CM2" s="3" t="inlineStr">
        <is>
          <t>DZA US Equity</t>
        </is>
      </c>
      <c r="DQ2" s="3" t="inlineStr">
        <is>
          <t>nan Equity</t>
        </is>
      </c>
      <c r="EU2" s="3" t="inlineStr">
        <is>
          <t>RTX US Equity</t>
        </is>
      </c>
      <c r="FY2" s="3" t="inlineStr">
        <is>
          <t>1431816D US Equity</t>
        </is>
      </c>
      <c r="HC2" s="3" t="inlineStr">
        <is>
          <t>GTN US Equity</t>
        </is>
      </c>
      <c r="IG2" s="3" t="inlineStr">
        <is>
          <t>HBAN US Equity</t>
        </is>
      </c>
      <c r="JK2" s="3" t="inlineStr">
        <is>
          <t>HOLX US Equity</t>
        </is>
      </c>
      <c r="KO2" s="3" t="inlineStr">
        <is>
          <t>AA US Equity</t>
        </is>
      </c>
      <c r="LS2" s="3" t="inlineStr">
        <is>
          <t>COR US Equity</t>
        </is>
      </c>
      <c r="MW2" s="3" t="inlineStr">
        <is>
          <t>FSH US Equity</t>
        </is>
      </c>
      <c r="OA2" s="3" t="inlineStr">
        <is>
          <t>FHN US Equity</t>
        </is>
      </c>
      <c r="PE2" s="3" t="inlineStr">
        <is>
          <t>COX US Equity</t>
        </is>
      </c>
      <c r="QI2" s="3" t="inlineStr">
        <is>
          <t>Y US Equity</t>
        </is>
      </c>
      <c r="RM2" s="3" t="inlineStr">
        <is>
          <t>ET US Equity</t>
        </is>
      </c>
      <c r="SQ2" s="3" t="inlineStr">
        <is>
          <t>WCOEQ US Equity</t>
        </is>
      </c>
      <c r="TU2" s="3" t="inlineStr">
        <is>
          <t>OPITQ US Equity</t>
        </is>
      </c>
      <c r="UY2" s="3" t="inlineStr">
        <is>
          <t>PCL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BDS("ITW US Equity","SUPPLY_CHAIN_SUPPLIERS_FULL_DATA")</f>
        <v/>
      </c>
      <c r="O5">
        <f>BDS("ITW US Equity","SUPPLY_CHAIN_CUSTOMERS_FULL_DATA")</f>
        <v/>
      </c>
      <c r="AE5">
        <f>BDS("9990302D US Equity","SUPPLY_CHAIN_SUPPLIERS_FULL_DATA")</f>
        <v/>
      </c>
      <c r="AS5">
        <f>BDS("9990302D US Equity","SUPPLY_CHAIN_CUSTOMERS_FULL_DATA")</f>
        <v/>
      </c>
      <c r="BI5">
        <f>BDS("CMCSA US Equity","SUPPLY_CHAIN_SUPPLIERS_FULL_DATA")</f>
        <v/>
      </c>
      <c r="BW5">
        <f>BDS("CMCSA US Equity","SUPPLY_CHAIN_CUSTOMERS_FULL_DATA")</f>
        <v/>
      </c>
      <c r="CM5">
        <f>BDS("DZA US Equity","SUPPLY_CHAIN_SUPPLIERS_FULL_DATA")</f>
        <v/>
      </c>
      <c r="DA5">
        <f>BDS("DZA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BDS("RTX US Equity","SUPPLY_CHAIN_SUPPLIERS_FULL_DATA")</f>
        <v/>
      </c>
      <c r="FI5">
        <f>BDS("RTX US Equity","SUPPLY_CHAIN_CUSTOMERS_FULL_DATA")</f>
        <v/>
      </c>
      <c r="FY5">
        <f>BDS("1431816D US Equity","SUPPLY_CHAIN_SUPPLIERS_FULL_DATA")</f>
        <v/>
      </c>
      <c r="GM5">
        <f>BDS("1431816D US Equity","SUPPLY_CHAIN_CUSTOMERS_FULL_DATA")</f>
        <v/>
      </c>
      <c r="HC5">
        <f>BDS("GTN US Equity","SUPPLY_CHAIN_SUPPLIERS_FULL_DATA")</f>
        <v/>
      </c>
      <c r="HQ5">
        <f>BDS("GTN US Equity","SUPPLY_CHAIN_CUSTOMERS_FULL_DATA")</f>
        <v/>
      </c>
      <c r="IG5">
        <f>BDS("HBAN US Equity","SUPPLY_CHAIN_SUPPLIERS_FULL_DATA")</f>
        <v/>
      </c>
      <c r="IU5">
        <f>BDS("HBAN US Equity","SUPPLY_CHAIN_CUSTOMERS_FULL_DATA")</f>
        <v/>
      </c>
      <c r="JK5">
        <f>BDS("HOLX US Equity","SUPPLY_CHAIN_SUPPLIERS_FULL_DATA")</f>
        <v/>
      </c>
      <c r="JY5">
        <f>BDS("HOLX US Equity","SUPPLY_CHAIN_CUSTOMERS_FULL_DATA")</f>
        <v/>
      </c>
      <c r="KO5">
        <f>BDS("AA US Equity","SUPPLY_CHAIN_SUPPLIERS_FULL_DATA")</f>
        <v/>
      </c>
      <c r="LC5">
        <f>BDS("AA US Equity","SUPPLY_CHAIN_CUSTOMERS_FULL_DATA")</f>
        <v/>
      </c>
      <c r="LS5">
        <f>BDS("COR US Equity","SUPPLY_CHAIN_SUPPLIERS_FULL_DATA")</f>
        <v/>
      </c>
      <c r="MG5">
        <f>BDS("COR US Equity","SUPPLY_CHAIN_CUSTOMERS_FULL_DATA")</f>
        <v/>
      </c>
      <c r="MW5">
        <f>BDS("FSH US Equity","SUPPLY_CHAIN_SUPPLIERS_FULL_DATA")</f>
        <v/>
      </c>
      <c r="NK5">
        <f>BDS("FSH US Equity","SUPPLY_CHAIN_CUSTOMERS_FULL_DATA")</f>
        <v/>
      </c>
      <c r="OA5">
        <f>BDS("FHN US Equity","SUPPLY_CHAIN_SUPPLIERS_FULL_DATA")</f>
        <v/>
      </c>
      <c r="OO5">
        <f>BDS("FHN US Equity","SUPPLY_CHAIN_CUSTOMERS_FULL_DATA")</f>
        <v/>
      </c>
      <c r="PE5">
        <f>BDS("COX US Equity","SUPPLY_CHAIN_SUPPLIERS_FULL_DATA")</f>
        <v/>
      </c>
      <c r="PS5">
        <f>BDS("COX US Equity","SUPPLY_CHAIN_CUSTOMERS_FULL_DATA")</f>
        <v/>
      </c>
      <c r="QI5">
        <f>BDS("Y US Equity","SUPPLY_CHAIN_SUPPLIERS_FULL_DATA")</f>
        <v/>
      </c>
      <c r="QW5">
        <f>BDS("Y US Equity","SUPPLY_CHAIN_CUSTOMERS_FULL_DATA")</f>
        <v/>
      </c>
      <c r="RM5">
        <f>BDS("ET US Equity","SUPPLY_CHAIN_SUPPLIERS_FULL_DATA")</f>
        <v/>
      </c>
      <c r="SA5">
        <f>BDS("ET US Equity","SUPPLY_CHAIN_CUSTOMERS_FULL_DATA")</f>
        <v/>
      </c>
      <c r="SQ5">
        <f>BDS("WCOEQ US Equity","SUPPLY_CHAIN_SUPPLIERS_FULL_DATA")</f>
        <v/>
      </c>
      <c r="TE5">
        <f>BDS("WCOEQ US Equity","SUPPLY_CHAIN_CUSTOMERS_FULL_DATA")</f>
        <v/>
      </c>
      <c r="TU5">
        <f>BDS("OPITQ US Equity","SUPPLY_CHAIN_SUPPLIERS_FULL_DATA")</f>
        <v/>
      </c>
      <c r="UI5">
        <f>BDS("OPITQ US Equity","SUPPLY_CHAIN_CUSTOMERS_FULL_DATA")</f>
        <v/>
      </c>
      <c r="UY5">
        <f>BDS("PCL US Equity","SUPPLY_CHAIN_SUPPLIERS_FULL_DATA")</f>
        <v/>
      </c>
      <c r="VM5">
        <f>BDS("PCL US Equity","SUPPLY_CHAIN_CUSTOMERS_FULL_DATA")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601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602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603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604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605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606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607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608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609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610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611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612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613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614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615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616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617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618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619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620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AMT US Equity</t>
        </is>
      </c>
      <c r="AE2" s="3" t="inlineStr">
        <is>
          <t>1293405D US Equity</t>
        </is>
      </c>
      <c r="BI2" s="3" t="inlineStr">
        <is>
          <t>MSI US Equity</t>
        </is>
      </c>
      <c r="CM2" s="3" t="inlineStr">
        <is>
          <t>BX US Equity</t>
        </is>
      </c>
      <c r="DQ2" s="3" t="inlineStr">
        <is>
          <t>ELV US Equity</t>
        </is>
      </c>
      <c r="EU2" s="3" t="inlineStr">
        <is>
          <t>SOV US Equity</t>
        </is>
      </c>
      <c r="FY2" s="3" t="inlineStr">
        <is>
          <t>ALL US Equity</t>
        </is>
      </c>
      <c r="HC2" s="3" t="inlineStr">
        <is>
          <t>DTE US Equity</t>
        </is>
      </c>
      <c r="IG2" s="3" t="inlineStr">
        <is>
          <t>CFG US Equity</t>
        </is>
      </c>
      <c r="JK2" s="3" t="inlineStr">
        <is>
          <t>1683997D US Equity</t>
        </is>
      </c>
      <c r="KO2" s="3" t="inlineStr">
        <is>
          <t>0848680D US Equity</t>
        </is>
      </c>
      <c r="LS2" s="3" t="inlineStr">
        <is>
          <t>MRK US Equity</t>
        </is>
      </c>
      <c r="MW2" s="3" t="inlineStr">
        <is>
          <t>CSCO US Equity</t>
        </is>
      </c>
      <c r="OA2" s="3" t="inlineStr">
        <is>
          <t>CUZ US Equity</t>
        </is>
      </c>
      <c r="PE2" s="3" t="inlineStr">
        <is>
          <t>CMI US Equity</t>
        </is>
      </c>
      <c r="QI2" s="3" t="inlineStr">
        <is>
          <t>582663Q US Equity</t>
        </is>
      </c>
      <c r="RM2" s="3" t="inlineStr">
        <is>
          <t>MDRIQ US Equity</t>
        </is>
      </c>
      <c r="SQ2" s="3" t="inlineStr">
        <is>
          <t>NXST US Equity</t>
        </is>
      </c>
      <c r="TU2" s="3" t="inlineStr">
        <is>
          <t>FSK US Equity</t>
        </is>
      </c>
      <c r="UY2" s="3" t="inlineStr">
        <is>
          <t>WLK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BDS("AMT US Equity","SUPPLY_CHAIN_SUPPLIERS_FULL_DATA")</f>
        <v/>
      </c>
      <c r="O5">
        <f>BDS("AMT US Equity","SUPPLY_CHAIN_CUSTOMERS_FULL_DATA")</f>
        <v/>
      </c>
      <c r="AE5">
        <f>BDS("1293405D US Equity","SUPPLY_CHAIN_SUPPLIERS_FULL_DATA")</f>
        <v/>
      </c>
      <c r="AS5">
        <f>BDS("1293405D US Equity","SUPPLY_CHAIN_CUSTOMERS_FULL_DATA")</f>
        <v/>
      </c>
      <c r="BI5">
        <f>BDS("MSI US Equity","SUPPLY_CHAIN_SUPPLIERS_FULL_DATA")</f>
        <v/>
      </c>
      <c r="BW5">
        <f>BDS("MSI US Equity","SUPPLY_CHAIN_CUSTOMERS_FULL_DATA")</f>
        <v/>
      </c>
      <c r="CM5">
        <f>BDS("BX US Equity","SUPPLY_CHAIN_SUPPLIERS_FULL_DATA")</f>
        <v/>
      </c>
      <c r="DA5">
        <f>BDS("BX US Equity","SUPPLY_CHAIN_CUSTOMERS_FULL_DATA")</f>
        <v/>
      </c>
      <c r="DQ5">
        <f>BDS("ELV US Equity","SUPPLY_CHAIN_SUPPLIERS_FULL_DATA")</f>
        <v/>
      </c>
      <c r="EE5">
        <f>BDS("ELV US Equity","SUPPLY_CHAIN_CUSTOMERS_FULL_DATA")</f>
        <v/>
      </c>
      <c r="EU5">
        <f>BDS("SOV US Equity","SUPPLY_CHAIN_SUPPLIERS_FULL_DATA")</f>
        <v/>
      </c>
      <c r="FI5">
        <f>BDS("SOV US Equity","SUPPLY_CHAIN_CUSTOMERS_FULL_DATA")</f>
        <v/>
      </c>
      <c r="FY5">
        <f>BDS("ALL US Equity","SUPPLY_CHAIN_SUPPLIERS_FULL_DATA")</f>
        <v/>
      </c>
      <c r="GM5">
        <f>BDS("ALL US Equity","SUPPLY_CHAIN_CUSTOMERS_FULL_DATA")</f>
        <v/>
      </c>
      <c r="HC5">
        <f>BDS("DTE US Equity","SUPPLY_CHAIN_SUPPLIERS_FULL_DATA")</f>
        <v/>
      </c>
      <c r="HQ5">
        <f>BDS("DTE US Equity","SUPPLY_CHAIN_CUSTOMERS_FULL_DATA")</f>
        <v/>
      </c>
      <c r="IG5">
        <f>BDS("CFG US Equity","SUPPLY_CHAIN_SUPPLIERS_FULL_DATA")</f>
        <v/>
      </c>
      <c r="IU5">
        <f>BDS("CFG US Equity","SUPPLY_CHAIN_CUSTOMERS_FULL_DATA")</f>
        <v/>
      </c>
      <c r="JK5">
        <f>BDS("1683997D US Equity","SUPPLY_CHAIN_SUPPLIERS_FULL_DATA")</f>
        <v/>
      </c>
      <c r="JY5">
        <f>BDS("1683997D US Equity","SUPPLY_CHAIN_CUSTOMERS_FULL_DATA")</f>
        <v/>
      </c>
      <c r="KO5">
        <f>BDS("0848680D US Equity","SUPPLY_CHAIN_SUPPLIERS_FULL_DATA")</f>
        <v/>
      </c>
      <c r="LC5">
        <f>BDS("0848680D US Equity","SUPPLY_CHAIN_CUSTOMERS_FULL_DATA")</f>
        <v/>
      </c>
      <c r="LS5">
        <f>BDS("MRK US Equity","SUPPLY_CHAIN_SUPPLIERS_FULL_DATA")</f>
        <v/>
      </c>
      <c r="MG5">
        <f>BDS("MRK US Equity","SUPPLY_CHAIN_CUSTOMERS_FULL_DATA")</f>
        <v/>
      </c>
      <c r="MW5">
        <f>BDS("CSCO US Equity","SUPPLY_CHAIN_SUPPLIERS_FULL_DATA")</f>
        <v/>
      </c>
      <c r="NK5">
        <f>BDS("CSCO US Equity","SUPPLY_CHAIN_CUSTOMERS_FULL_DATA")</f>
        <v/>
      </c>
      <c r="OA5">
        <f>BDS("CUZ US Equity","SUPPLY_CHAIN_SUPPLIERS_FULL_DATA")</f>
        <v/>
      </c>
      <c r="OO5">
        <f>BDS("CUZ US Equity","SUPPLY_CHAIN_CUSTOMERS_FULL_DATA")</f>
        <v/>
      </c>
      <c r="PE5">
        <f>BDS("CMI US Equity","SUPPLY_CHAIN_SUPPLIERS_FULL_DATA")</f>
        <v/>
      </c>
      <c r="PS5">
        <f>BDS("CMI US Equity","SUPPLY_CHAIN_CUSTOMERS_FULL_DATA")</f>
        <v/>
      </c>
      <c r="QI5">
        <f>BDS("582663Q US Equity","SUPPLY_CHAIN_SUPPLIERS_FULL_DATA")</f>
        <v/>
      </c>
      <c r="QW5">
        <f>BDS("582663Q US Equity","SUPPLY_CHAIN_CUSTOMERS_FULL_DATA")</f>
        <v/>
      </c>
      <c r="RM5">
        <f>BDS("MDRIQ US Equity","SUPPLY_CHAIN_SUPPLIERS_FULL_DATA")</f>
        <v/>
      </c>
      <c r="SA5">
        <f>BDS("MDRIQ US Equity","SUPPLY_CHAIN_CUSTOMERS_FULL_DATA")</f>
        <v/>
      </c>
      <c r="SQ5">
        <f>BDS("NXST US Equity","SUPPLY_CHAIN_SUPPLIERS_FULL_DATA")</f>
        <v/>
      </c>
      <c r="TE5">
        <f>BDS("NXST US Equity","SUPPLY_CHAIN_CUSTOMERS_FULL_DATA")</f>
        <v/>
      </c>
      <c r="TU5">
        <f>BDS("FSK US Equity","SUPPLY_CHAIN_SUPPLIERS_FULL_DATA")</f>
        <v/>
      </c>
      <c r="UI5">
        <f>BDS("FSK US Equity","SUPPLY_CHAIN_CUSTOMERS_FULL_DATA")</f>
        <v/>
      </c>
      <c r="UY5">
        <f>BDS("WLK US Equity","SUPPLY_CHAIN_SUPPLIERS_FULL_DATA")</f>
        <v/>
      </c>
      <c r="VM5">
        <f>BDS("WLK US Equity","SUPPLY_CHAIN_CUSTOMERS_FULL_DATA")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621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622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623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624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625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626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627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628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629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630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631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632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633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634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635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636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637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638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639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640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SLG US Equity</t>
        </is>
      </c>
      <c r="AE2" s="3" t="inlineStr">
        <is>
          <t>SPG US Equity</t>
        </is>
      </c>
      <c r="BI2" s="3" t="inlineStr">
        <is>
          <t>T US Equity</t>
        </is>
      </c>
      <c r="CM2" s="3" t="inlineStr">
        <is>
          <t>SLB US Equity</t>
        </is>
      </c>
      <c r="DQ2" s="3" t="inlineStr">
        <is>
          <t>nan Equity</t>
        </is>
      </c>
      <c r="EU2" s="3" t="inlineStr">
        <is>
          <t>nan Equity</t>
        </is>
      </c>
      <c r="FY2" s="3" t="inlineStr">
        <is>
          <t>FIS US Equity</t>
        </is>
      </c>
      <c r="HC2" s="3" t="inlineStr">
        <is>
          <t>ABT US Equity</t>
        </is>
      </c>
      <c r="IG2" s="3" t="inlineStr">
        <is>
          <t>HD US Equity</t>
        </is>
      </c>
      <c r="JK2" s="3" t="inlineStr">
        <is>
          <t>AMGN US Equity</t>
        </is>
      </c>
      <c r="KO2" s="3" t="inlineStr">
        <is>
          <t>CBOE US Equity</t>
        </is>
      </c>
      <c r="LS2" s="3" t="inlineStr">
        <is>
          <t>TFC US Equity</t>
        </is>
      </c>
      <c r="MW2" s="3" t="inlineStr">
        <is>
          <t>ARCC US Equity</t>
        </is>
      </c>
      <c r="OA2" s="3" t="inlineStr">
        <is>
          <t>WELL US Equity</t>
        </is>
      </c>
      <c r="PE2" s="3" t="inlineStr">
        <is>
          <t>FITB US Equity</t>
        </is>
      </c>
      <c r="QI2" s="3" t="inlineStr">
        <is>
          <t>BRCM US Equity</t>
        </is>
      </c>
      <c r="RM2" s="3" t="inlineStr">
        <is>
          <t>1255173D US Equity</t>
        </is>
      </c>
      <c r="SQ2" s="3" t="inlineStr">
        <is>
          <t>BDN US Equity</t>
        </is>
      </c>
      <c r="TU2" s="3" t="inlineStr">
        <is>
          <t>0544749D US Equity</t>
        </is>
      </c>
      <c r="UY2" s="3" t="inlineStr">
        <is>
          <t>DVN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BDS("SLG US Equity","SUPPLY_CHAIN_SUPPLIERS_FULL_DATA")</f>
        <v/>
      </c>
      <c r="O5">
        <f>BDS("SLG US Equity","SUPPLY_CHAIN_CUSTOMERS_FULL_DATA")</f>
        <v/>
      </c>
      <c r="AE5">
        <f>BDS("SPG US Equity","SUPPLY_CHAIN_SUPPLIERS_FULL_DATA")</f>
        <v/>
      </c>
      <c r="AS5">
        <f>BDS("SPG US Equity","SUPPLY_CHAIN_CUSTOMERS_FULL_DATA")</f>
        <v/>
      </c>
      <c r="BI5">
        <f>BDS("T US Equity","SUPPLY_CHAIN_SUPPLIERS_FULL_DATA")</f>
        <v/>
      </c>
      <c r="BW5">
        <f>BDS("T US Equity","SUPPLY_CHAIN_CUSTOMERS_FULL_DATA")</f>
        <v/>
      </c>
      <c r="CM5">
        <f>BDS("SLB US Equity","SUPPLY_CHAIN_SUPPLIERS_FULL_DATA")</f>
        <v/>
      </c>
      <c r="DA5">
        <f>BDS("SLB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BDS("nan Equity","SUPPLY_CHAIN_SUPPLIERS_FULL_DATA")</f>
        <v/>
      </c>
      <c r="FI5">
        <f>BDS("nan Equity","SUPPLY_CHAIN_CUSTOMERS_FULL_DATA")</f>
        <v/>
      </c>
      <c r="FY5">
        <f>BDS("FIS US Equity","SUPPLY_CHAIN_SUPPLIERS_FULL_DATA")</f>
        <v/>
      </c>
      <c r="GM5">
        <f>BDS("FIS US Equity","SUPPLY_CHAIN_CUSTOMERS_FULL_DATA")</f>
        <v/>
      </c>
      <c r="HC5">
        <f>BDS("ABT US Equity","SUPPLY_CHAIN_SUPPLIERS_FULL_DATA")</f>
        <v/>
      </c>
      <c r="HQ5">
        <f>BDS("ABT US Equity","SUPPLY_CHAIN_CUSTOMERS_FULL_DATA")</f>
        <v/>
      </c>
      <c r="IG5">
        <f>BDS("HD US Equity","SUPPLY_CHAIN_SUPPLIERS_FULL_DATA")</f>
        <v/>
      </c>
      <c r="IU5">
        <f>BDS("HD US Equity","SUPPLY_CHAIN_CUSTOMERS_FULL_DATA")</f>
        <v/>
      </c>
      <c r="JK5">
        <f>BDS("AMGN US Equity","SUPPLY_CHAIN_SUPPLIERS_FULL_DATA")</f>
        <v/>
      </c>
      <c r="JY5">
        <f>BDS("AMGN US Equity","SUPPLY_CHAIN_CUSTOMERS_FULL_DATA")</f>
        <v/>
      </c>
      <c r="KO5">
        <f>BDS("CBOE US Equity","SUPPLY_CHAIN_SUPPLIERS_FULL_DATA")</f>
        <v/>
      </c>
      <c r="LC5">
        <f>BDS("CBOE US Equity","SUPPLY_CHAIN_CUSTOMERS_FULL_DATA")</f>
        <v/>
      </c>
      <c r="LS5">
        <f>BDS("TFC US Equity","SUPPLY_CHAIN_SUPPLIERS_FULL_DATA")</f>
        <v/>
      </c>
      <c r="MG5">
        <f>BDS("TFC US Equity","SUPPLY_CHAIN_CUSTOMERS_FULL_DATA")</f>
        <v/>
      </c>
      <c r="MW5">
        <f>BDS("ARCC US Equity","SUPPLY_CHAIN_SUPPLIERS_FULL_DATA")</f>
        <v/>
      </c>
      <c r="NK5">
        <f>BDS("ARCC US Equity","SUPPLY_CHAIN_CUSTOMERS_FULL_DATA")</f>
        <v/>
      </c>
      <c r="OA5">
        <f>BDS("WELL US Equity","SUPPLY_CHAIN_SUPPLIERS_FULL_DATA")</f>
        <v/>
      </c>
      <c r="OO5">
        <f>BDS("WELL US Equity","SUPPLY_CHAIN_CUSTOMERS_FULL_DATA")</f>
        <v/>
      </c>
      <c r="PE5">
        <f>BDS("FITB US Equity","SUPPLY_CHAIN_SUPPLIERS_FULL_DATA")</f>
        <v/>
      </c>
      <c r="PS5">
        <f>BDS("FITB US Equity","SUPPLY_CHAIN_CUSTOMERS_FULL_DATA")</f>
        <v/>
      </c>
      <c r="QI5">
        <f>BDS("BRCM US Equity","SUPPLY_CHAIN_SUPPLIERS_FULL_DATA")</f>
        <v/>
      </c>
      <c r="QW5">
        <f>BDS("BRCM US Equity","SUPPLY_CHAIN_CUSTOMERS_FULL_DATA")</f>
        <v/>
      </c>
      <c r="RM5">
        <f>BDS("1255173D US Equity","SUPPLY_CHAIN_SUPPLIERS_FULL_DATA")</f>
        <v/>
      </c>
      <c r="SA5">
        <f>BDS("1255173D US Equity","SUPPLY_CHAIN_CUSTOMERS_FULL_DATA")</f>
        <v/>
      </c>
      <c r="SQ5">
        <f>BDS("BDN US Equity","SUPPLY_CHAIN_SUPPLIERS_FULL_DATA")</f>
        <v/>
      </c>
      <c r="TE5">
        <f>BDS("BDN US Equity","SUPPLY_CHAIN_CUSTOMERS_FULL_DATA")</f>
        <v/>
      </c>
      <c r="TU5">
        <f>BDS("0544749D US Equity","SUPPLY_CHAIN_SUPPLIERS_FULL_DATA")</f>
        <v/>
      </c>
      <c r="UI5">
        <f>BDS("0544749D US Equity","SUPPLY_CHAIN_CUSTOMERS_FULL_DATA")</f>
        <v/>
      </c>
      <c r="UY5">
        <f>BDS("DVN US Equity","SUPPLY_CHAIN_SUPPLIERS_FULL_DATA")</f>
        <v/>
      </c>
      <c r="VM5">
        <f>BDS("DVN US Equity","SUPPLY_CHAIN_CUSTOMERS_FULL_DATA")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641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642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643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644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645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646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647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648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649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650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651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652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653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654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655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656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657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658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659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660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1837572D US Equity</t>
        </is>
      </c>
      <c r="AE2" s="3" t="inlineStr">
        <is>
          <t>THC US Equity</t>
        </is>
      </c>
      <c r="BI2" s="3" t="inlineStr">
        <is>
          <t>ARI US Equity</t>
        </is>
      </c>
      <c r="CM2" s="3" t="inlineStr">
        <is>
          <t>1704453D US Equity</t>
        </is>
      </c>
      <c r="DQ2" s="3" t="inlineStr">
        <is>
          <t>nan Equity</t>
        </is>
      </c>
      <c r="EU2" s="3" t="inlineStr">
        <is>
          <t>TRV US Equity</t>
        </is>
      </c>
      <c r="FY2" s="3" t="inlineStr">
        <is>
          <t>NS US Equity</t>
        </is>
      </c>
      <c r="HC2" s="3" t="inlineStr">
        <is>
          <t>nan Equity</t>
        </is>
      </c>
      <c r="IG2" s="3" t="inlineStr">
        <is>
          <t>PFE US Equity</t>
        </is>
      </c>
      <c r="JK2" s="3" t="inlineStr">
        <is>
          <t>AMCC US Equity</t>
        </is>
      </c>
      <c r="KO2" s="3" t="inlineStr">
        <is>
          <t>ATBA AV Equity</t>
        </is>
      </c>
      <c r="LS2" s="3" t="inlineStr">
        <is>
          <t>PEP US Equity</t>
        </is>
      </c>
      <c r="MW2" s="3" t="inlineStr">
        <is>
          <t>300583Q US Equity</t>
        </is>
      </c>
      <c r="OA2" s="3" t="inlineStr">
        <is>
          <t>DYNIQ US Equity</t>
        </is>
      </c>
      <c r="PE2" s="3" t="inlineStr">
        <is>
          <t>MPLX US Equity</t>
        </is>
      </c>
      <c r="QI2" s="3" t="inlineStr">
        <is>
          <t>HBAN US Equity</t>
        </is>
      </c>
      <c r="RM2" s="3" t="inlineStr">
        <is>
          <t>SSB US Equity</t>
        </is>
      </c>
      <c r="SQ2" s="3" t="inlineStr">
        <is>
          <t>IT US Equity</t>
        </is>
      </c>
      <c r="TU2" s="3" t="inlineStr">
        <is>
          <t>LQI US Equity</t>
        </is>
      </c>
      <c r="UY2" s="3" t="inlineStr">
        <is>
          <t>CHRD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BDS("1837572D US Equity","SUPPLY_CHAIN_SUPPLIERS_FULL_DATA")</f>
        <v/>
      </c>
      <c r="O5">
        <f>BDS("1837572D US Equity","SUPPLY_CHAIN_CUSTOMERS_FULL_DATA")</f>
        <v/>
      </c>
      <c r="AE5">
        <f>BDS("THC US Equity","SUPPLY_CHAIN_SUPPLIERS_FULL_DATA")</f>
        <v/>
      </c>
      <c r="AS5">
        <f>BDS("THC US Equity","SUPPLY_CHAIN_CUSTOMERS_FULL_DATA")</f>
        <v/>
      </c>
      <c r="BI5">
        <f>BDS("ARI US Equity","SUPPLY_CHAIN_SUPPLIERS_FULL_DATA")</f>
        <v/>
      </c>
      <c r="BW5">
        <f>BDS("ARI US Equity","SUPPLY_CHAIN_CUSTOMERS_FULL_DATA")</f>
        <v/>
      </c>
      <c r="CM5">
        <f>BDS("1704453D US Equity","SUPPLY_CHAIN_SUPPLIERS_FULL_DATA")</f>
        <v/>
      </c>
      <c r="DA5">
        <f>BDS("1704453D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BDS("TRV US Equity","SUPPLY_CHAIN_SUPPLIERS_FULL_DATA")</f>
        <v/>
      </c>
      <c r="FI5">
        <f>BDS("TRV US Equity","SUPPLY_CHAIN_CUSTOMERS_FULL_DATA")</f>
        <v/>
      </c>
      <c r="FY5">
        <f>BDS("NS US Equity","SUPPLY_CHAIN_SUPPLIERS_FULL_DATA")</f>
        <v/>
      </c>
      <c r="GM5">
        <f>BDS("NS US Equity","SUPPLY_CHAIN_CUSTOMERS_FULL_DATA")</f>
        <v/>
      </c>
      <c r="HC5">
        <f>BDS("nan Equity","SUPPLY_CHAIN_SUPPLIERS_FULL_DATA")</f>
        <v/>
      </c>
      <c r="HQ5">
        <f>BDS("nan Equity","SUPPLY_CHAIN_CUSTOMERS_FULL_DATA")</f>
        <v/>
      </c>
      <c r="IG5">
        <f>BDS("PFE US Equity","SUPPLY_CHAIN_SUPPLIERS_FULL_DATA")</f>
        <v/>
      </c>
      <c r="IU5">
        <f>BDS("PFE US Equity","SUPPLY_CHAIN_CUSTOMERS_FULL_DATA")</f>
        <v/>
      </c>
      <c r="JK5">
        <f>BDS("AMCC US Equity","SUPPLY_CHAIN_SUPPLIERS_FULL_DATA")</f>
        <v/>
      </c>
      <c r="JY5">
        <f>BDS("AMCC US Equity","SUPPLY_CHAIN_CUSTOMERS_FULL_DATA")</f>
        <v/>
      </c>
      <c r="KO5">
        <f>BDS("ATBA AV Equity","SUPPLY_CHAIN_SUPPLIERS_FULL_DATA")</f>
        <v/>
      </c>
      <c r="LC5">
        <f>BDS("ATBA AV Equity","SUPPLY_CHAIN_CUSTOMERS_FULL_DATA")</f>
        <v/>
      </c>
      <c r="LS5">
        <f>BDS("PEP US Equity","SUPPLY_CHAIN_SUPPLIERS_FULL_DATA")</f>
        <v/>
      </c>
      <c r="MG5">
        <f>BDS("PEP US Equity","SUPPLY_CHAIN_CUSTOMERS_FULL_DATA")</f>
        <v/>
      </c>
      <c r="MW5">
        <f>BDS("300583Q US Equity","SUPPLY_CHAIN_SUPPLIERS_FULL_DATA")</f>
        <v/>
      </c>
      <c r="NK5">
        <f>BDS("300583Q US Equity","SUPPLY_CHAIN_CUSTOMERS_FULL_DATA")</f>
        <v/>
      </c>
      <c r="OA5">
        <f>BDS("DYNIQ US Equity","SUPPLY_CHAIN_SUPPLIERS_FULL_DATA")</f>
        <v/>
      </c>
      <c r="OO5">
        <f>BDS("DYNIQ US Equity","SUPPLY_CHAIN_CUSTOMERS_FULL_DATA")</f>
        <v/>
      </c>
      <c r="PE5">
        <f>BDS("MPLX US Equity","SUPPLY_CHAIN_SUPPLIERS_FULL_DATA")</f>
        <v/>
      </c>
      <c r="PS5">
        <f>BDS("MPLX US Equity","SUPPLY_CHAIN_CUSTOMERS_FULL_DATA")</f>
        <v/>
      </c>
      <c r="QI5">
        <f>BDS("HBAN US Equity","SUPPLY_CHAIN_SUPPLIERS_FULL_DATA")</f>
        <v/>
      </c>
      <c r="QW5">
        <f>BDS("HBAN US Equity","SUPPLY_CHAIN_CUSTOMERS_FULL_DATA")</f>
        <v/>
      </c>
      <c r="RM5">
        <f>BDS("SSB US Equity","SUPPLY_CHAIN_SUPPLIERS_FULL_DATA")</f>
        <v/>
      </c>
      <c r="SA5">
        <f>BDS("SSB US Equity","SUPPLY_CHAIN_CUSTOMERS_FULL_DATA")</f>
        <v/>
      </c>
      <c r="SQ5">
        <f>BDS("IT US Equity","SUPPLY_CHAIN_SUPPLIERS_FULL_DATA")</f>
        <v/>
      </c>
      <c r="TE5">
        <f>BDS("IT US Equity","SUPPLY_CHAIN_CUSTOMERS_FULL_DATA")</f>
        <v/>
      </c>
      <c r="TU5">
        <f>BDS("LQI US Equity","SUPPLY_CHAIN_SUPPLIERS_FULL_DATA")</f>
        <v/>
      </c>
      <c r="UI5">
        <f>BDS("LQI US Equity","SUPPLY_CHAIN_CUSTOMERS_FULL_DATA")</f>
        <v/>
      </c>
      <c r="UY5">
        <f>BDS("CHRD US Equity","SUPPLY_CHAIN_SUPPLIERS_FULL_DATA")</f>
        <v/>
      </c>
      <c r="VM5">
        <f>BDS("CHRD US Equity","SUPPLY_CHAIN_CUSTOMERS_FULL_DATA")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661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662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663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664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665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666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667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668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669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670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671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672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673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674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675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676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677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678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679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680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GE US Equity</t>
        </is>
      </c>
      <c r="AE2" s="3" t="inlineStr">
        <is>
          <t>MCHP US Equity</t>
        </is>
      </c>
      <c r="BI2" s="3" t="inlineStr">
        <is>
          <t>XRX US Equity</t>
        </is>
      </c>
      <c r="CM2" s="3" t="inlineStr">
        <is>
          <t>HFC US Equity</t>
        </is>
      </c>
      <c r="DQ2" s="3" t="inlineStr">
        <is>
          <t>DCH US Equity</t>
        </is>
      </c>
      <c r="EU2" s="3" t="inlineStr">
        <is>
          <t>CEQP US Equity</t>
        </is>
      </c>
      <c r="FY2" s="3" t="inlineStr">
        <is>
          <t>STJ US Equity</t>
        </is>
      </c>
      <c r="HC2" s="3" t="inlineStr">
        <is>
          <t>MDT US Equity</t>
        </is>
      </c>
      <c r="IG2" s="3" t="inlineStr">
        <is>
          <t>1810430D US Equity</t>
        </is>
      </c>
      <c r="JK2" s="3" t="inlineStr">
        <is>
          <t>UNH US Equity</t>
        </is>
      </c>
      <c r="KO2" s="3" t="inlineStr">
        <is>
          <t>9876555D US Equity</t>
        </is>
      </c>
      <c r="LS2" s="3" t="inlineStr">
        <is>
          <t>UAL US Equity</t>
        </is>
      </c>
      <c r="MW2" s="3" t="inlineStr">
        <is>
          <t>CBI US Equity</t>
        </is>
      </c>
      <c r="OA2" s="3" t="inlineStr">
        <is>
          <t>BX US Equity</t>
        </is>
      </c>
      <c r="PE2" s="3" t="inlineStr">
        <is>
          <t>NBL US Equity</t>
        </is>
      </c>
      <c r="QI2" s="3" t="inlineStr">
        <is>
          <t>0848680D US Equity</t>
        </is>
      </c>
      <c r="RM2" s="3" t="inlineStr">
        <is>
          <t>ADBE US Equity</t>
        </is>
      </c>
      <c r="SQ2" s="3" t="inlineStr">
        <is>
          <t>ARCH US Equity</t>
        </is>
      </c>
      <c r="TU2" s="3" t="inlineStr">
        <is>
          <t>CAR US Equity</t>
        </is>
      </c>
      <c r="UY2" s="3" t="inlineStr">
        <is>
          <t>MAXR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BDS("GE US Equity","SUPPLY_CHAIN_SUPPLIERS_FULL_DATA")</f>
        <v/>
      </c>
      <c r="O5">
        <f>BDS("GE US Equity","SUPPLY_CHAIN_CUSTOMERS_FULL_DATA")</f>
        <v/>
      </c>
      <c r="AE5">
        <f>BDS("MCHP US Equity","SUPPLY_CHAIN_SUPPLIERS_FULL_DATA")</f>
        <v/>
      </c>
      <c r="AS5">
        <f>BDS("MCHP US Equity","SUPPLY_CHAIN_CUSTOMERS_FULL_DATA")</f>
        <v/>
      </c>
      <c r="BI5">
        <f>BDS("XRX US Equity","SUPPLY_CHAIN_SUPPLIERS_FULL_DATA")</f>
        <v/>
      </c>
      <c r="BW5">
        <f>BDS("XRX US Equity","SUPPLY_CHAIN_CUSTOMERS_FULL_DATA")</f>
        <v/>
      </c>
      <c r="CM5">
        <f>BDS("HFC US Equity","SUPPLY_CHAIN_SUPPLIERS_FULL_DATA")</f>
        <v/>
      </c>
      <c r="DA5">
        <f>BDS("HFC US Equity","SUPPLY_CHAIN_CUSTOMERS_FULL_DATA")</f>
        <v/>
      </c>
      <c r="DQ5">
        <f>BDS("DCH US Equity","SUPPLY_CHAIN_SUPPLIERS_FULL_DATA")</f>
        <v/>
      </c>
      <c r="EE5">
        <f>BDS("DCH US Equity","SUPPLY_CHAIN_CUSTOMERS_FULL_DATA")</f>
        <v/>
      </c>
      <c r="EU5">
        <f>BDS("CEQP US Equity","SUPPLY_CHAIN_SUPPLIERS_FULL_DATA")</f>
        <v/>
      </c>
      <c r="FI5">
        <f>BDS("CEQP US Equity","SUPPLY_CHAIN_CUSTOMERS_FULL_DATA")</f>
        <v/>
      </c>
      <c r="FY5">
        <f>BDS("STJ US Equity","SUPPLY_CHAIN_SUPPLIERS_FULL_DATA")</f>
        <v/>
      </c>
      <c r="GM5">
        <f>BDS("STJ US Equity","SUPPLY_CHAIN_CUSTOMERS_FULL_DATA")</f>
        <v/>
      </c>
      <c r="HC5">
        <f>BDS("MDT US Equity","SUPPLY_CHAIN_SUPPLIERS_FULL_DATA")</f>
        <v/>
      </c>
      <c r="HQ5">
        <f>BDS("MDT US Equity","SUPPLY_CHAIN_CUSTOMERS_FULL_DATA")</f>
        <v/>
      </c>
      <c r="IG5">
        <f>BDS("1810430D US Equity","SUPPLY_CHAIN_SUPPLIERS_FULL_DATA")</f>
        <v/>
      </c>
      <c r="IU5">
        <f>BDS("1810430D US Equity","SUPPLY_CHAIN_CUSTOMERS_FULL_DATA")</f>
        <v/>
      </c>
      <c r="JK5">
        <f>BDS("UNH US Equity","SUPPLY_CHAIN_SUPPLIERS_FULL_DATA")</f>
        <v/>
      </c>
      <c r="JY5">
        <f>BDS("UNH US Equity","SUPPLY_CHAIN_CUSTOMERS_FULL_DATA")</f>
        <v/>
      </c>
      <c r="KO5">
        <f>BDS("9876555D US Equity","SUPPLY_CHAIN_SUPPLIERS_FULL_DATA")</f>
        <v/>
      </c>
      <c r="LC5">
        <f>BDS("9876555D US Equity","SUPPLY_CHAIN_CUSTOMERS_FULL_DATA")</f>
        <v/>
      </c>
      <c r="LS5">
        <f>BDS("UAL US Equity","SUPPLY_CHAIN_SUPPLIERS_FULL_DATA")</f>
        <v/>
      </c>
      <c r="MG5">
        <f>BDS("UAL US Equity","SUPPLY_CHAIN_CUSTOMERS_FULL_DATA")</f>
        <v/>
      </c>
      <c r="MW5">
        <f>BDS("CBI US Equity","SUPPLY_CHAIN_SUPPLIERS_FULL_DATA")</f>
        <v/>
      </c>
      <c r="NK5">
        <f>BDS("CBI US Equity","SUPPLY_CHAIN_CUSTOMERS_FULL_DATA")</f>
        <v/>
      </c>
      <c r="OA5">
        <f>BDS("BX US Equity","SUPPLY_CHAIN_SUPPLIERS_FULL_DATA")</f>
        <v/>
      </c>
      <c r="OO5">
        <f>BDS("BX US Equity","SUPPLY_CHAIN_CUSTOMERS_FULL_DATA")</f>
        <v/>
      </c>
      <c r="PE5">
        <f>BDS("NBL US Equity","SUPPLY_CHAIN_SUPPLIERS_FULL_DATA")</f>
        <v/>
      </c>
      <c r="PS5">
        <f>BDS("NBL US Equity","SUPPLY_CHAIN_CUSTOMERS_FULL_DATA")</f>
        <v/>
      </c>
      <c r="QI5">
        <f>BDS("0848680D US Equity","SUPPLY_CHAIN_SUPPLIERS_FULL_DATA")</f>
        <v/>
      </c>
      <c r="QW5">
        <f>BDS("0848680D US Equity","SUPPLY_CHAIN_CUSTOMERS_FULL_DATA")</f>
        <v/>
      </c>
      <c r="RM5">
        <f>BDS("ADBE US Equity","SUPPLY_CHAIN_SUPPLIERS_FULL_DATA")</f>
        <v/>
      </c>
      <c r="SA5">
        <f>BDS("ADBE US Equity","SUPPLY_CHAIN_CUSTOMERS_FULL_DATA")</f>
        <v/>
      </c>
      <c r="SQ5">
        <f>BDS("ARCH US Equity","SUPPLY_CHAIN_SUPPLIERS_FULL_DATA")</f>
        <v/>
      </c>
      <c r="TE5">
        <f>BDS("ARCH US Equity","SUPPLY_CHAIN_CUSTOMERS_FULL_DATA")</f>
        <v/>
      </c>
      <c r="TU5">
        <f>BDS("CAR US Equity","SUPPLY_CHAIN_SUPPLIERS_FULL_DATA")</f>
        <v/>
      </c>
      <c r="UI5">
        <f>BDS("CAR US Equity","SUPPLY_CHAIN_CUSTOMERS_FULL_DATA")</f>
        <v/>
      </c>
      <c r="UY5">
        <f>BDS("MAXR US Equity","SUPPLY_CHAIN_SUPPLIERS_FULL_DATA")</f>
        <v/>
      </c>
      <c r="VM5">
        <f>BDS("MAXR US Equity","SUPPLY_CHAIN_CUSTOMERS_FULL_DATA")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681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682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683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684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685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686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687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688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689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690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691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692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693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694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695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696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697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698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699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700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GAS US Equity</t>
        </is>
      </c>
      <c r="AE2" s="3" t="inlineStr">
        <is>
          <t>QCOM US Equity</t>
        </is>
      </c>
      <c r="BI2" s="3" t="inlineStr">
        <is>
          <t>2326248D US Equity</t>
        </is>
      </c>
      <c r="CM2" s="3" t="inlineStr">
        <is>
          <t>UNH US Equity</t>
        </is>
      </c>
      <c r="DQ2" s="3" t="inlineStr">
        <is>
          <t>AES US Equity</t>
        </is>
      </c>
      <c r="EU2" s="3" t="inlineStr">
        <is>
          <t>EXAS US Equity</t>
        </is>
      </c>
      <c r="FY2" s="3" t="inlineStr">
        <is>
          <t>UNFI US Equity</t>
        </is>
      </c>
      <c r="HC2" s="3" t="inlineStr">
        <is>
          <t>NBL US Equity</t>
        </is>
      </c>
      <c r="IG2" s="3" t="inlineStr">
        <is>
          <t>nan Equity</t>
        </is>
      </c>
      <c r="JK2" s="3" t="inlineStr">
        <is>
          <t>SWKH US Equity</t>
        </is>
      </c>
      <c r="KO2" s="3" t="inlineStr">
        <is>
          <t>2860436Q US Equity</t>
        </is>
      </c>
      <c r="LS2" s="3" t="inlineStr">
        <is>
          <t>PHM US Equity</t>
        </is>
      </c>
      <c r="MW2" s="3" t="inlineStr">
        <is>
          <t>1436513D US Equity</t>
        </is>
      </c>
      <c r="OA2" s="3" t="inlineStr">
        <is>
          <t>AAL US Equity</t>
        </is>
      </c>
      <c r="PE2" s="3" t="inlineStr">
        <is>
          <t>2326248D US Equity</t>
        </is>
      </c>
      <c r="QI2" s="3" t="inlineStr">
        <is>
          <t>HPQ US Equity</t>
        </is>
      </c>
      <c r="RM2" s="3" t="inlineStr">
        <is>
          <t>DDS US Equity</t>
        </is>
      </c>
      <c r="SQ2" s="3" t="inlineStr">
        <is>
          <t>MDT US Equity</t>
        </is>
      </c>
      <c r="TU2" s="3" t="inlineStr">
        <is>
          <t>AVTA US Equity</t>
        </is>
      </c>
      <c r="UY2" s="3" t="inlineStr">
        <is>
          <t>CAA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BDS("GAS US Equity","SUPPLY_CHAIN_SUPPLIERS_FULL_DATA")</f>
        <v/>
      </c>
      <c r="O5">
        <f>BDS("GAS US Equity","SUPPLY_CHAIN_CUSTOMERS_FULL_DATA")</f>
        <v/>
      </c>
      <c r="AE5">
        <f>BDS("QCOM US Equity","SUPPLY_CHAIN_SUPPLIERS_FULL_DATA")</f>
        <v/>
      </c>
      <c r="AS5">
        <f>BDS("QCOM US Equity","SUPPLY_CHAIN_CUSTOMERS_FULL_DATA")</f>
        <v/>
      </c>
      <c r="BI5">
        <f>BDS("2326248D US Equity","SUPPLY_CHAIN_SUPPLIERS_FULL_DATA")</f>
        <v/>
      </c>
      <c r="BW5">
        <f>BDS("2326248D US Equity","SUPPLY_CHAIN_CUSTOMERS_FULL_DATA")</f>
        <v/>
      </c>
      <c r="CM5">
        <f>BDS("UNH US Equity","SUPPLY_CHAIN_SUPPLIERS_FULL_DATA")</f>
        <v/>
      </c>
      <c r="DA5">
        <f>BDS("UNH US Equity","SUPPLY_CHAIN_CUSTOMERS_FULL_DATA")</f>
        <v/>
      </c>
      <c r="DQ5">
        <f>BDS("AES US Equity","SUPPLY_CHAIN_SUPPLIERS_FULL_DATA")</f>
        <v/>
      </c>
      <c r="EE5">
        <f>BDS("AES US Equity","SUPPLY_CHAIN_CUSTOMERS_FULL_DATA")</f>
        <v/>
      </c>
      <c r="EU5">
        <f>BDS("EXAS US Equity","SUPPLY_CHAIN_SUPPLIERS_FULL_DATA")</f>
        <v/>
      </c>
      <c r="FI5">
        <f>BDS("EXAS US Equity","SUPPLY_CHAIN_CUSTOMERS_FULL_DATA")</f>
        <v/>
      </c>
      <c r="FY5">
        <f>BDS("UNFI US Equity","SUPPLY_CHAIN_SUPPLIERS_FULL_DATA")</f>
        <v/>
      </c>
      <c r="GM5">
        <f>BDS("UNFI US Equity","SUPPLY_CHAIN_CUSTOMERS_FULL_DATA")</f>
        <v/>
      </c>
      <c r="HC5">
        <f>BDS("NBL US Equity","SUPPLY_CHAIN_SUPPLIERS_FULL_DATA")</f>
        <v/>
      </c>
      <c r="HQ5">
        <f>BDS("NBL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BDS("SWKH US Equity","SUPPLY_CHAIN_SUPPLIERS_FULL_DATA")</f>
        <v/>
      </c>
      <c r="JY5">
        <f>BDS("SWKH US Equity","SUPPLY_CHAIN_CUSTOMERS_FULL_DATA")</f>
        <v/>
      </c>
      <c r="KO5">
        <f>BDS("2860436Q US Equity","SUPPLY_CHAIN_SUPPLIERS_FULL_DATA")</f>
        <v/>
      </c>
      <c r="LC5">
        <f>BDS("2860436Q US Equity","SUPPLY_CHAIN_CUSTOMERS_FULL_DATA")</f>
        <v/>
      </c>
      <c r="LS5">
        <f>BDS("PHM US Equity","SUPPLY_CHAIN_SUPPLIERS_FULL_DATA")</f>
        <v/>
      </c>
      <c r="MG5">
        <f>BDS("PHM US Equity","SUPPLY_CHAIN_CUSTOMERS_FULL_DATA")</f>
        <v/>
      </c>
      <c r="MW5">
        <f>BDS("1436513D US Equity","SUPPLY_CHAIN_SUPPLIERS_FULL_DATA")</f>
        <v/>
      </c>
      <c r="NK5">
        <f>BDS("1436513D US Equity","SUPPLY_CHAIN_CUSTOMERS_FULL_DATA")</f>
        <v/>
      </c>
      <c r="OA5">
        <f>BDS("AAL US Equity","SUPPLY_CHAIN_SUPPLIERS_FULL_DATA")</f>
        <v/>
      </c>
      <c r="OO5">
        <f>BDS("AAL US Equity","SUPPLY_CHAIN_CUSTOMERS_FULL_DATA")</f>
        <v/>
      </c>
      <c r="PE5">
        <f>BDS("2326248D US Equity","SUPPLY_CHAIN_SUPPLIERS_FULL_DATA")</f>
        <v/>
      </c>
      <c r="PS5">
        <f>BDS("2326248D US Equity","SUPPLY_CHAIN_CUSTOMERS_FULL_DATA")</f>
        <v/>
      </c>
      <c r="QI5">
        <f>BDS("HPQ US Equity","SUPPLY_CHAIN_SUPPLIERS_FULL_DATA")</f>
        <v/>
      </c>
      <c r="QW5">
        <f>BDS("HPQ US Equity","SUPPLY_CHAIN_CUSTOMERS_FULL_DATA")</f>
        <v/>
      </c>
      <c r="RM5">
        <f>BDS("DDS US Equity","SUPPLY_CHAIN_SUPPLIERS_FULL_DATA")</f>
        <v/>
      </c>
      <c r="SA5">
        <f>BDS("DDS US Equity","SUPPLY_CHAIN_CUSTOMERS_FULL_DATA")</f>
        <v/>
      </c>
      <c r="SQ5">
        <f>BDS("MDT US Equity","SUPPLY_CHAIN_SUPPLIERS_FULL_DATA")</f>
        <v/>
      </c>
      <c r="TE5">
        <f>BDS("MDT US Equity","SUPPLY_CHAIN_CUSTOMERS_FULL_DATA")</f>
        <v/>
      </c>
      <c r="TU5">
        <f>BDS("AVTA US Equity","SUPPLY_CHAIN_SUPPLIERS_FULL_DATA")</f>
        <v/>
      </c>
      <c r="UI5">
        <f>BDS("AVTA US Equity","SUPPLY_CHAIN_CUSTOMERS_FULL_DATA")</f>
        <v/>
      </c>
      <c r="UY5">
        <f>BDS("CAA US Equity","SUPPLY_CHAIN_SUPPLIERS_FULL_DATA")</f>
        <v/>
      </c>
      <c r="VM5">
        <f>BDS("CAA US Equity","SUPPLY_CHAIN_CUSTOMERS_FULL_DATA")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701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702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703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704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705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706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707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708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709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710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711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712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713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714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715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716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717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718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719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720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AM US Equity</t>
        </is>
      </c>
      <c r="AE2" s="3" t="inlineStr">
        <is>
          <t>KG US Equity</t>
        </is>
      </c>
      <c r="BI2" s="3" t="inlineStr">
        <is>
          <t>XPO US Equity</t>
        </is>
      </c>
      <c r="CM2" s="3" t="inlineStr">
        <is>
          <t>BX US Equity</t>
        </is>
      </c>
      <c r="DQ2" s="3" t="inlineStr">
        <is>
          <t>SKS US Equity</t>
        </is>
      </c>
      <c r="EU2" s="3" t="inlineStr">
        <is>
          <t>WSC US Equity</t>
        </is>
      </c>
      <c r="FY2" s="3" t="inlineStr">
        <is>
          <t>TWC US Equity</t>
        </is>
      </c>
      <c r="HC2" s="3" t="inlineStr">
        <is>
          <t>ILPT US Equity</t>
        </is>
      </c>
      <c r="IG2" s="3" t="inlineStr">
        <is>
          <t>LUMN US Equity</t>
        </is>
      </c>
      <c r="JK2" s="3" t="inlineStr">
        <is>
          <t>0544749D US Equity</t>
        </is>
      </c>
      <c r="KO2" s="3" t="inlineStr">
        <is>
          <t>HZNP US Equity</t>
        </is>
      </c>
      <c r="LS2" s="3" t="inlineStr">
        <is>
          <t>1719868D US Equity</t>
        </is>
      </c>
      <c r="MW2" s="3" t="inlineStr">
        <is>
          <t>IEP US Equity</t>
        </is>
      </c>
      <c r="OA2" s="3" t="inlineStr">
        <is>
          <t>OSK US Equity</t>
        </is>
      </c>
      <c r="PE2" s="3" t="inlineStr">
        <is>
          <t>1284849D US Equity</t>
        </is>
      </c>
      <c r="QI2" s="3" t="inlineStr">
        <is>
          <t>1920486D US Equity</t>
        </is>
      </c>
      <c r="RM2" s="3" t="inlineStr">
        <is>
          <t>ABT US Equity</t>
        </is>
      </c>
      <c r="SQ2" s="3" t="inlineStr">
        <is>
          <t>nan Equity</t>
        </is>
      </c>
      <c r="TU2" s="3" t="inlineStr">
        <is>
          <t>LEHMQ US Equity</t>
        </is>
      </c>
      <c r="UY2" s="3" t="inlineStr">
        <is>
          <t>KRG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BDS("AM US Equity","SUPPLY_CHAIN_SUPPLIERS_FULL_DATA")</f>
        <v/>
      </c>
      <c r="O5">
        <f>BDS("AM US Equity","SUPPLY_CHAIN_CUSTOMERS_FULL_DATA")</f>
        <v/>
      </c>
      <c r="AE5">
        <f>BDS("KG US Equity","SUPPLY_CHAIN_SUPPLIERS_FULL_DATA")</f>
        <v/>
      </c>
      <c r="AS5">
        <f>BDS("KG US Equity","SUPPLY_CHAIN_CUSTOMERS_FULL_DATA")</f>
        <v/>
      </c>
      <c r="BI5">
        <f>BDS("XPO US Equity","SUPPLY_CHAIN_SUPPLIERS_FULL_DATA")</f>
        <v/>
      </c>
      <c r="BW5">
        <f>BDS("XPO US Equity","SUPPLY_CHAIN_CUSTOMERS_FULL_DATA")</f>
        <v/>
      </c>
      <c r="CM5">
        <f>BDS("BX US Equity","SUPPLY_CHAIN_SUPPLIERS_FULL_DATA")</f>
        <v/>
      </c>
      <c r="DA5">
        <f>BDS("BX US Equity","SUPPLY_CHAIN_CUSTOMERS_FULL_DATA")</f>
        <v/>
      </c>
      <c r="DQ5">
        <f>BDS("SKS US Equity","SUPPLY_CHAIN_SUPPLIERS_FULL_DATA")</f>
        <v/>
      </c>
      <c r="EE5">
        <f>BDS("SKS US Equity","SUPPLY_CHAIN_CUSTOMERS_FULL_DATA")</f>
        <v/>
      </c>
      <c r="EU5">
        <f>BDS("WSC US Equity","SUPPLY_CHAIN_SUPPLIERS_FULL_DATA")</f>
        <v/>
      </c>
      <c r="FI5">
        <f>BDS("WSC US Equity","SUPPLY_CHAIN_CUSTOMERS_FULL_DATA")</f>
        <v/>
      </c>
      <c r="FY5">
        <f>BDS("TWC US Equity","SUPPLY_CHAIN_SUPPLIERS_FULL_DATA")</f>
        <v/>
      </c>
      <c r="GM5">
        <f>BDS("TWC US Equity","SUPPLY_CHAIN_CUSTOMERS_FULL_DATA")</f>
        <v/>
      </c>
      <c r="HC5">
        <f>BDS("ILPT US Equity","SUPPLY_CHAIN_SUPPLIERS_FULL_DATA")</f>
        <v/>
      </c>
      <c r="HQ5">
        <f>BDS("ILPT US Equity","SUPPLY_CHAIN_CUSTOMERS_FULL_DATA")</f>
        <v/>
      </c>
      <c r="IG5">
        <f>BDS("LUMN US Equity","SUPPLY_CHAIN_SUPPLIERS_FULL_DATA")</f>
        <v/>
      </c>
      <c r="IU5">
        <f>BDS("LUMN US Equity","SUPPLY_CHAIN_CUSTOMERS_FULL_DATA")</f>
        <v/>
      </c>
      <c r="JK5">
        <f>BDS("0544749D US Equity","SUPPLY_CHAIN_SUPPLIERS_FULL_DATA")</f>
        <v/>
      </c>
      <c r="JY5">
        <f>BDS("0544749D US Equity","SUPPLY_CHAIN_CUSTOMERS_FULL_DATA")</f>
        <v/>
      </c>
      <c r="KO5">
        <f>BDS("HZNP US Equity","SUPPLY_CHAIN_SUPPLIERS_FULL_DATA")</f>
        <v/>
      </c>
      <c r="LC5">
        <f>BDS("HZNP US Equity","SUPPLY_CHAIN_CUSTOMERS_FULL_DATA")</f>
        <v/>
      </c>
      <c r="LS5">
        <f>BDS("1719868D US Equity","SUPPLY_CHAIN_SUPPLIERS_FULL_DATA")</f>
        <v/>
      </c>
      <c r="MG5">
        <f>BDS("1719868D US Equity","SUPPLY_CHAIN_CUSTOMERS_FULL_DATA")</f>
        <v/>
      </c>
      <c r="MW5">
        <f>BDS("IEP US Equity","SUPPLY_CHAIN_SUPPLIERS_FULL_DATA")</f>
        <v/>
      </c>
      <c r="NK5">
        <f>BDS("IEP US Equity","SUPPLY_CHAIN_CUSTOMERS_FULL_DATA")</f>
        <v/>
      </c>
      <c r="OA5">
        <f>BDS("OSK US Equity","SUPPLY_CHAIN_SUPPLIERS_FULL_DATA")</f>
        <v/>
      </c>
      <c r="OO5">
        <f>BDS("OSK US Equity","SUPPLY_CHAIN_CUSTOMERS_FULL_DATA")</f>
        <v/>
      </c>
      <c r="PE5">
        <f>BDS("1284849D US Equity","SUPPLY_CHAIN_SUPPLIERS_FULL_DATA")</f>
        <v/>
      </c>
      <c r="PS5">
        <f>BDS("1284849D US Equity","SUPPLY_CHAIN_CUSTOMERS_FULL_DATA")</f>
        <v/>
      </c>
      <c r="QI5">
        <f>BDS("1920486D US Equity","SUPPLY_CHAIN_SUPPLIERS_FULL_DATA")</f>
        <v/>
      </c>
      <c r="QW5">
        <f>BDS("1920486D US Equity","SUPPLY_CHAIN_CUSTOMERS_FULL_DATA")</f>
        <v/>
      </c>
      <c r="RM5">
        <f>BDS("ABT US Equity","SUPPLY_CHAIN_SUPPLIERS_FULL_DATA")</f>
        <v/>
      </c>
      <c r="SA5">
        <f>BDS("ABT US Equity","SUPPLY_CHAIN_CUSTOMERS_FULL_DATA")</f>
        <v/>
      </c>
      <c r="SQ5">
        <f>BDS("nan Equity","SUPPLY_CHAIN_SUPPLIERS_FULL_DATA")</f>
        <v/>
      </c>
      <c r="TE5">
        <f>BDS("nan Equity","SUPPLY_CHAIN_CUSTOMERS_FULL_DATA")</f>
        <v/>
      </c>
      <c r="TU5">
        <f>BDS("LEHMQ US Equity","SUPPLY_CHAIN_SUPPLIERS_FULL_DATA")</f>
        <v/>
      </c>
      <c r="UI5">
        <f>BDS("LEHMQ US Equity","SUPPLY_CHAIN_CUSTOMERS_FULL_DATA")</f>
        <v/>
      </c>
      <c r="UY5">
        <f>BDS("KRG US Equity","SUPPLY_CHAIN_SUPPLIERS_FULL_DATA")</f>
        <v/>
      </c>
      <c r="VM5">
        <f>BDS("KRG US Equity","SUPPLY_CHAIN_CUSTOMERS_FULL_DATA")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721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722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723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724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725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726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727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728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729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730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731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732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733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734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735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736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737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738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739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740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CAG US Equity</t>
        </is>
      </c>
      <c r="AE2" s="3" t="inlineStr">
        <is>
          <t>nan Equity</t>
        </is>
      </c>
      <c r="BI2" s="3" t="inlineStr">
        <is>
          <t>HPC US Equity</t>
        </is>
      </c>
      <c r="CM2" s="3" t="inlineStr">
        <is>
          <t>CADE US Equity</t>
        </is>
      </c>
      <c r="DQ2" s="3" t="inlineStr">
        <is>
          <t>PCP US Equity</t>
        </is>
      </c>
      <c r="EU2" s="3" t="inlineStr">
        <is>
          <t>GE US Equity</t>
        </is>
      </c>
      <c r="FY2" s="3" t="inlineStr">
        <is>
          <t>RUN US Equity</t>
        </is>
      </c>
      <c r="HC2" s="3" t="inlineStr">
        <is>
          <t>BMY US Equity</t>
        </is>
      </c>
      <c r="IG2" s="3" t="inlineStr">
        <is>
          <t>WEN US Equity</t>
        </is>
      </c>
      <c r="JK2" s="3" t="inlineStr">
        <is>
          <t>WMB US Equity</t>
        </is>
      </c>
      <c r="KO2" s="3" t="inlineStr">
        <is>
          <t>VALPQ US Equity</t>
        </is>
      </c>
      <c r="LS2" s="3" t="inlineStr">
        <is>
          <t>9990822D US Equity</t>
        </is>
      </c>
      <c r="MW2" s="3" t="inlineStr">
        <is>
          <t>MDT US Equity</t>
        </is>
      </c>
      <c r="OA2" s="3" t="inlineStr">
        <is>
          <t>CVS US Equity</t>
        </is>
      </c>
      <c r="PE2" s="3" t="inlineStr">
        <is>
          <t>LRCX US Equity</t>
        </is>
      </c>
      <c r="QI2" s="3" t="inlineStr">
        <is>
          <t>GXP US Equity</t>
        </is>
      </c>
      <c r="RM2" s="3" t="inlineStr">
        <is>
          <t>CELG US Equity</t>
        </is>
      </c>
      <c r="SQ2" s="3" t="inlineStr">
        <is>
          <t>PVH US Equity</t>
        </is>
      </c>
      <c r="TU2" s="3" t="inlineStr">
        <is>
          <t>ASH US Equity</t>
        </is>
      </c>
      <c r="UY2" s="3" t="inlineStr">
        <is>
          <t>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BDS("CAG US Equity","SUPPLY_CHAIN_SUPPLIERS_FULL_DATA")</f>
        <v/>
      </c>
      <c r="O5">
        <f>BDS("CAG US Equity","SUPPLY_CHAIN_CUSTOMERS_FULL_DATA")</f>
        <v/>
      </c>
      <c r="AE5">
        <f>BDS("nan Equity","SUPPLY_CHAIN_SUPPLIERS_FULL_DATA")</f>
        <v/>
      </c>
      <c r="AS5">
        <f>BDS("nan Equity","SUPPLY_CHAIN_CUSTOMERS_FULL_DATA")</f>
        <v/>
      </c>
      <c r="BI5">
        <f>BDS("HPC US Equity","SUPPLY_CHAIN_SUPPLIERS_FULL_DATA")</f>
        <v/>
      </c>
      <c r="BW5">
        <f>BDS("HPC US Equity","SUPPLY_CHAIN_CUSTOMERS_FULL_DATA")</f>
        <v/>
      </c>
      <c r="CM5">
        <f>BDS("CADE US Equity","SUPPLY_CHAIN_SUPPLIERS_FULL_DATA")</f>
        <v/>
      </c>
      <c r="DA5">
        <f>BDS("CADE US Equity","SUPPLY_CHAIN_CUSTOMERS_FULL_DATA")</f>
        <v/>
      </c>
      <c r="DQ5">
        <f>BDS("PCP US Equity","SUPPLY_CHAIN_SUPPLIERS_FULL_DATA")</f>
        <v/>
      </c>
      <c r="EE5">
        <f>BDS("PCP US Equity","SUPPLY_CHAIN_CUSTOMERS_FULL_DATA")</f>
        <v/>
      </c>
      <c r="EU5">
        <f>BDS("GE US Equity","SUPPLY_CHAIN_SUPPLIERS_FULL_DATA")</f>
        <v/>
      </c>
      <c r="FI5">
        <f>BDS("GE US Equity","SUPPLY_CHAIN_CUSTOMERS_FULL_DATA")</f>
        <v/>
      </c>
      <c r="FY5">
        <f>BDS("RUN US Equity","SUPPLY_CHAIN_SUPPLIERS_FULL_DATA")</f>
        <v/>
      </c>
      <c r="GM5">
        <f>BDS("RUN US Equity","SUPPLY_CHAIN_CUSTOMERS_FULL_DATA")</f>
        <v/>
      </c>
      <c r="HC5">
        <f>BDS("BMY US Equity","SUPPLY_CHAIN_SUPPLIERS_FULL_DATA")</f>
        <v/>
      </c>
      <c r="HQ5">
        <f>BDS("BMY US Equity","SUPPLY_CHAIN_CUSTOMERS_FULL_DATA")</f>
        <v/>
      </c>
      <c r="IG5">
        <f>BDS("WEN US Equity","SUPPLY_CHAIN_SUPPLIERS_FULL_DATA")</f>
        <v/>
      </c>
      <c r="IU5">
        <f>BDS("WEN US Equity","SUPPLY_CHAIN_CUSTOMERS_FULL_DATA")</f>
        <v/>
      </c>
      <c r="JK5">
        <f>BDS("WMB US Equity","SUPPLY_CHAIN_SUPPLIERS_FULL_DATA")</f>
        <v/>
      </c>
      <c r="JY5">
        <f>BDS("WMB US Equity","SUPPLY_CHAIN_CUSTOMERS_FULL_DATA")</f>
        <v/>
      </c>
      <c r="KO5">
        <f>BDS("VALPQ US Equity","SUPPLY_CHAIN_SUPPLIERS_FULL_DATA")</f>
        <v/>
      </c>
      <c r="LC5">
        <f>BDS("VALPQ US Equity","SUPPLY_CHAIN_CUSTOMERS_FULL_DATA")</f>
        <v/>
      </c>
      <c r="LS5">
        <f>BDS("9990822D US Equity","SUPPLY_CHAIN_SUPPLIERS_FULL_DATA")</f>
        <v/>
      </c>
      <c r="MG5">
        <f>BDS("9990822D US Equity","SUPPLY_CHAIN_CUSTOMERS_FULL_DATA")</f>
        <v/>
      </c>
      <c r="MW5">
        <f>BDS("MDT US Equity","SUPPLY_CHAIN_SUPPLIERS_FULL_DATA")</f>
        <v/>
      </c>
      <c r="NK5">
        <f>BDS("MDT US Equity","SUPPLY_CHAIN_CUSTOMERS_FULL_DATA")</f>
        <v/>
      </c>
      <c r="OA5">
        <f>BDS("CVS US Equity","SUPPLY_CHAIN_SUPPLIERS_FULL_DATA")</f>
        <v/>
      </c>
      <c r="OO5">
        <f>BDS("CVS US Equity","SUPPLY_CHAIN_CUSTOMERS_FULL_DATA")</f>
        <v/>
      </c>
      <c r="PE5">
        <f>BDS("LRCX US Equity","SUPPLY_CHAIN_SUPPLIERS_FULL_DATA")</f>
        <v/>
      </c>
      <c r="PS5">
        <f>BDS("LRCX US Equity","SUPPLY_CHAIN_CUSTOMERS_FULL_DATA")</f>
        <v/>
      </c>
      <c r="QI5">
        <f>BDS("GXP US Equity","SUPPLY_CHAIN_SUPPLIERS_FULL_DATA")</f>
        <v/>
      </c>
      <c r="QW5">
        <f>BDS("GXP US Equity","SUPPLY_CHAIN_CUSTOMERS_FULL_DATA")</f>
        <v/>
      </c>
      <c r="RM5">
        <f>BDS("CELG US Equity","SUPPLY_CHAIN_SUPPLIERS_FULL_DATA")</f>
        <v/>
      </c>
      <c r="SA5">
        <f>BDS("CELG US Equity","SUPPLY_CHAIN_CUSTOMERS_FULL_DATA")</f>
        <v/>
      </c>
      <c r="SQ5">
        <f>BDS("PVH US Equity","SUPPLY_CHAIN_SUPPLIERS_FULL_DATA")</f>
        <v/>
      </c>
      <c r="TE5">
        <f>BDS("PVH US Equity","SUPPLY_CHAIN_CUSTOMERS_FULL_DATA")</f>
        <v/>
      </c>
      <c r="TU5">
        <f>BDS("ASH US Equity","SUPPLY_CHAIN_SUPPLIERS_FULL_DATA")</f>
        <v/>
      </c>
      <c r="UI5">
        <f>BDS("ASH US Equity","SUPPLY_CHAIN_CUSTOMERS_FULL_DATA")</f>
        <v/>
      </c>
      <c r="UY5">
        <f>BDS("T US Equity","SUPPLY_CHAIN_SUPPLIERS_FULL_DATA")</f>
        <v/>
      </c>
      <c r="VM5">
        <f>BDS("T US Equity","SUPPLY_CHAIN_CUSTOMERS_FULL_DATA")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741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742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743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744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745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746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747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748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749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750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751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752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753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754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755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756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757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758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759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760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BRK/A US Equity</t>
        </is>
      </c>
      <c r="AE2" s="3" t="inlineStr">
        <is>
          <t>DHR US Equity</t>
        </is>
      </c>
      <c r="BI2" s="3" t="inlineStr">
        <is>
          <t>O US Equity</t>
        </is>
      </c>
      <c r="CM2" s="3" t="inlineStr">
        <is>
          <t>DVN US Equity</t>
        </is>
      </c>
      <c r="DQ2" s="3" t="inlineStr">
        <is>
          <t>FHN US Equity</t>
        </is>
      </c>
      <c r="EU2" s="3" t="inlineStr">
        <is>
          <t>AM US Equity</t>
        </is>
      </c>
      <c r="FY2" s="3" t="inlineStr">
        <is>
          <t>TGNA US Equity</t>
        </is>
      </c>
      <c r="HC2" s="3" t="inlineStr">
        <is>
          <t>WFC US Equity</t>
        </is>
      </c>
      <c r="IG2" s="3" t="inlineStr">
        <is>
          <t>CRM US Equity</t>
        </is>
      </c>
      <c r="JK2" s="3" t="inlineStr">
        <is>
          <t>CVX US Equity</t>
        </is>
      </c>
      <c r="KO2" s="3" t="inlineStr">
        <is>
          <t>HSH US Equity</t>
        </is>
      </c>
      <c r="LS2" s="3" t="inlineStr">
        <is>
          <t>DAL US Equity</t>
        </is>
      </c>
      <c r="MW2" s="3" t="inlineStr">
        <is>
          <t>PROXQ US Equity</t>
        </is>
      </c>
      <c r="OA2" s="3" t="inlineStr">
        <is>
          <t>EMN US Equity</t>
        </is>
      </c>
      <c r="PE2" s="3" t="inlineStr">
        <is>
          <t>AA US Equity</t>
        </is>
      </c>
      <c r="QI2" s="3" t="inlineStr">
        <is>
          <t>CELG US Equity</t>
        </is>
      </c>
      <c r="RM2" s="3" t="inlineStr">
        <is>
          <t>PFGC US Equity</t>
        </is>
      </c>
      <c r="SQ2" s="3" t="inlineStr">
        <is>
          <t>ORCL US Equity</t>
        </is>
      </c>
      <c r="TU2" s="3" t="inlineStr">
        <is>
          <t>COR US Equity</t>
        </is>
      </c>
      <c r="UY2" s="3" t="inlineStr">
        <is>
          <t>BLDR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BDS("BRK/A US Equity","SUPPLY_CHAIN_SUPPLIERS_FULL_DATA")</f>
        <v/>
      </c>
      <c r="O5">
        <f>BDS("BRK/A US Equity","SUPPLY_CHAIN_CUSTOMERS_FULL_DATA")</f>
        <v/>
      </c>
      <c r="AE5">
        <f>BDS("DHR US Equity","SUPPLY_CHAIN_SUPPLIERS_FULL_DATA")</f>
        <v/>
      </c>
      <c r="AS5">
        <f>BDS("DHR US Equity","SUPPLY_CHAIN_CUSTOMERS_FULL_DATA")</f>
        <v/>
      </c>
      <c r="BI5">
        <f>BDS("O US Equity","SUPPLY_CHAIN_SUPPLIERS_FULL_DATA")</f>
        <v/>
      </c>
      <c r="BW5">
        <f>BDS("O US Equity","SUPPLY_CHAIN_CUSTOMERS_FULL_DATA")</f>
        <v/>
      </c>
      <c r="CM5">
        <f>BDS("DVN US Equity","SUPPLY_CHAIN_SUPPLIERS_FULL_DATA")</f>
        <v/>
      </c>
      <c r="DA5">
        <f>BDS("DVN US Equity","SUPPLY_CHAIN_CUSTOMERS_FULL_DATA")</f>
        <v/>
      </c>
      <c r="DQ5">
        <f>BDS("FHN US Equity","SUPPLY_CHAIN_SUPPLIERS_FULL_DATA")</f>
        <v/>
      </c>
      <c r="EE5">
        <f>BDS("FHN US Equity","SUPPLY_CHAIN_CUSTOMERS_FULL_DATA")</f>
        <v/>
      </c>
      <c r="EU5">
        <f>BDS("AM US Equity","SUPPLY_CHAIN_SUPPLIERS_FULL_DATA")</f>
        <v/>
      </c>
      <c r="FI5">
        <f>BDS("AM US Equity","SUPPLY_CHAIN_CUSTOMERS_FULL_DATA")</f>
        <v/>
      </c>
      <c r="FY5">
        <f>BDS("TGNA US Equity","SUPPLY_CHAIN_SUPPLIERS_FULL_DATA")</f>
        <v/>
      </c>
      <c r="GM5">
        <f>BDS("TGNA US Equity","SUPPLY_CHAIN_CUSTOMERS_FULL_DATA")</f>
        <v/>
      </c>
      <c r="HC5">
        <f>BDS("WFC US Equity","SUPPLY_CHAIN_SUPPLIERS_FULL_DATA")</f>
        <v/>
      </c>
      <c r="HQ5">
        <f>BDS("WFC US Equity","SUPPLY_CHAIN_CUSTOMERS_FULL_DATA")</f>
        <v/>
      </c>
      <c r="IG5">
        <f>BDS("CRM US Equity","SUPPLY_CHAIN_SUPPLIERS_FULL_DATA")</f>
        <v/>
      </c>
      <c r="IU5">
        <f>BDS("CRM US Equity","SUPPLY_CHAIN_CUSTOMERS_FULL_DATA")</f>
        <v/>
      </c>
      <c r="JK5">
        <f>BDS("CVX US Equity","SUPPLY_CHAIN_SUPPLIERS_FULL_DATA")</f>
        <v/>
      </c>
      <c r="JY5">
        <f>BDS("CVX US Equity","SUPPLY_CHAIN_CUSTOMERS_FULL_DATA")</f>
        <v/>
      </c>
      <c r="KO5">
        <f>BDS("HSH US Equity","SUPPLY_CHAIN_SUPPLIERS_FULL_DATA")</f>
        <v/>
      </c>
      <c r="LC5">
        <f>BDS("HSH US Equity","SUPPLY_CHAIN_CUSTOMERS_FULL_DATA")</f>
        <v/>
      </c>
      <c r="LS5">
        <f>BDS("DAL US Equity","SUPPLY_CHAIN_SUPPLIERS_FULL_DATA")</f>
        <v/>
      </c>
      <c r="MG5">
        <f>BDS("DAL US Equity","SUPPLY_CHAIN_CUSTOMERS_FULL_DATA")</f>
        <v/>
      </c>
      <c r="MW5">
        <f>BDS("PROXQ US Equity","SUPPLY_CHAIN_SUPPLIERS_FULL_DATA")</f>
        <v/>
      </c>
      <c r="NK5">
        <f>BDS("PROXQ US Equity","SUPPLY_CHAIN_CUSTOMERS_FULL_DATA")</f>
        <v/>
      </c>
      <c r="OA5">
        <f>BDS("EMN US Equity","SUPPLY_CHAIN_SUPPLIERS_FULL_DATA")</f>
        <v/>
      </c>
      <c r="OO5">
        <f>BDS("EMN US Equity","SUPPLY_CHAIN_CUSTOMERS_FULL_DATA")</f>
        <v/>
      </c>
      <c r="PE5">
        <f>BDS("AA US Equity","SUPPLY_CHAIN_SUPPLIERS_FULL_DATA")</f>
        <v/>
      </c>
      <c r="PS5">
        <f>BDS("AA US Equity","SUPPLY_CHAIN_CUSTOMERS_FULL_DATA")</f>
        <v/>
      </c>
      <c r="QI5">
        <f>BDS("CELG US Equity","SUPPLY_CHAIN_SUPPLIERS_FULL_DATA")</f>
        <v/>
      </c>
      <c r="QW5">
        <f>BDS("CELG US Equity","SUPPLY_CHAIN_CUSTOMERS_FULL_DATA")</f>
        <v/>
      </c>
      <c r="RM5">
        <f>BDS("PFGC US Equity","SUPPLY_CHAIN_SUPPLIERS_FULL_DATA")</f>
        <v/>
      </c>
      <c r="SA5">
        <f>BDS("PFGC US Equity","SUPPLY_CHAIN_CUSTOMERS_FULL_DATA")</f>
        <v/>
      </c>
      <c r="SQ5">
        <f>BDS("ORCL US Equity","SUPPLY_CHAIN_SUPPLIERS_FULL_DATA")</f>
        <v/>
      </c>
      <c r="TE5">
        <f>BDS("ORCL US Equity","SUPPLY_CHAIN_CUSTOMERS_FULL_DATA")</f>
        <v/>
      </c>
      <c r="TU5">
        <f>BDS("COR US Equity","SUPPLY_CHAIN_SUPPLIERS_FULL_DATA")</f>
        <v/>
      </c>
      <c r="UI5">
        <f>BDS("COR US Equity","SUPPLY_CHAIN_CUSTOMERS_FULL_DATA")</f>
        <v/>
      </c>
      <c r="UY5">
        <f>BDS("BLDR US Equity","SUPPLY_CHAIN_SUPPLIERS_FULL_DATA")</f>
        <v/>
      </c>
      <c r="VM5">
        <f>BDS("BLDR US Equity","SUPPLY_CHAIN_CUSTOMERS_FULL_DATA")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761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762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763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764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765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766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767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768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769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770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771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772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773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774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775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776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777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778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779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780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SNV US Equity</t>
        </is>
      </c>
      <c r="AE2" s="3" t="inlineStr">
        <is>
          <t>9876567D US Equity</t>
        </is>
      </c>
      <c r="BI2" s="3" t="inlineStr">
        <is>
          <t>HPQ US Equity</t>
        </is>
      </c>
      <c r="CM2" s="3" t="inlineStr">
        <is>
          <t>ENDPQ US Equity</t>
        </is>
      </c>
      <c r="DQ2" s="3" t="inlineStr">
        <is>
          <t>CG US Equity</t>
        </is>
      </c>
      <c r="EU2" s="3" t="inlineStr">
        <is>
          <t>nan Equity</t>
        </is>
      </c>
      <c r="FY2" s="3" t="inlineStr">
        <is>
          <t>nan Equity</t>
        </is>
      </c>
      <c r="HC2" s="3" t="inlineStr">
        <is>
          <t>3867693Z US Equity</t>
        </is>
      </c>
      <c r="IG2" s="3" t="inlineStr">
        <is>
          <t>JEF US Equity</t>
        </is>
      </c>
      <c r="JK2" s="3" t="inlineStr">
        <is>
          <t>OVV US Equity</t>
        </is>
      </c>
      <c r="KO2" s="3" t="inlineStr">
        <is>
          <t>COHR US Equity</t>
        </is>
      </c>
      <c r="LS2" s="3" t="inlineStr">
        <is>
          <t>CSCO US Equity</t>
        </is>
      </c>
      <c r="MW2" s="3" t="inlineStr">
        <is>
          <t>EXDSQ US Equity</t>
        </is>
      </c>
      <c r="OA2" s="3" t="inlineStr">
        <is>
          <t>FLG US Equity</t>
        </is>
      </c>
      <c r="PE2" s="3" t="inlineStr">
        <is>
          <t>MLM US Equity</t>
        </is>
      </c>
      <c r="QI2" s="3" t="inlineStr">
        <is>
          <t>1074528D US Equity</t>
        </is>
      </c>
      <c r="RM2" s="3" t="inlineStr">
        <is>
          <t>1927294D US Equity</t>
        </is>
      </c>
      <c r="SQ2" s="3" t="inlineStr">
        <is>
          <t>HFC US Equity</t>
        </is>
      </c>
      <c r="TU2" s="3" t="inlineStr">
        <is>
          <t>9990822D US Equity</t>
        </is>
      </c>
      <c r="UY2" s="3" t="inlineStr">
        <is>
          <t>GT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BDS("SNV US Equity","SUPPLY_CHAIN_SUPPLIERS_FULL_DATA")</f>
        <v/>
      </c>
      <c r="O5">
        <f>BDS("SNV US Equity","SUPPLY_CHAIN_CUSTOMERS_FULL_DATA")</f>
        <v/>
      </c>
      <c r="AE5">
        <f>BDS("9876567D US Equity","SUPPLY_CHAIN_SUPPLIERS_FULL_DATA")</f>
        <v/>
      </c>
      <c r="AS5">
        <f>BDS("9876567D US Equity","SUPPLY_CHAIN_CUSTOMERS_FULL_DATA")</f>
        <v/>
      </c>
      <c r="BI5">
        <f>BDS("HPQ US Equity","SUPPLY_CHAIN_SUPPLIERS_FULL_DATA")</f>
        <v/>
      </c>
      <c r="BW5">
        <f>BDS("HPQ US Equity","SUPPLY_CHAIN_CUSTOMERS_FULL_DATA")</f>
        <v/>
      </c>
      <c r="CM5">
        <f>BDS("ENDPQ US Equity","SUPPLY_CHAIN_SUPPLIERS_FULL_DATA")</f>
        <v/>
      </c>
      <c r="DA5">
        <f>BDS("ENDPQ US Equity","SUPPLY_CHAIN_CUSTOMERS_FULL_DATA")</f>
        <v/>
      </c>
      <c r="DQ5">
        <f>BDS("CG US Equity","SUPPLY_CHAIN_SUPPLIERS_FULL_DATA")</f>
        <v/>
      </c>
      <c r="EE5">
        <f>BDS("CG US Equity","SUPPLY_CHAIN_CUSTOMERS_FULL_DATA")</f>
        <v/>
      </c>
      <c r="EU5">
        <f>BDS("nan Equity","SUPPLY_CHAIN_SUPPLIERS_FULL_DATA")</f>
        <v/>
      </c>
      <c r="FI5">
        <f>BDS("nan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BDS("3867693Z US Equity","SUPPLY_CHAIN_SUPPLIERS_FULL_DATA")</f>
        <v/>
      </c>
      <c r="HQ5">
        <f>BDS("3867693Z US Equity","SUPPLY_CHAIN_CUSTOMERS_FULL_DATA")</f>
        <v/>
      </c>
      <c r="IG5">
        <f>BDS("JEF US Equity","SUPPLY_CHAIN_SUPPLIERS_FULL_DATA")</f>
        <v/>
      </c>
      <c r="IU5">
        <f>BDS("JEF US Equity","SUPPLY_CHAIN_CUSTOMERS_FULL_DATA")</f>
        <v/>
      </c>
      <c r="JK5">
        <f>BDS("OVV US Equity","SUPPLY_CHAIN_SUPPLIERS_FULL_DATA")</f>
        <v/>
      </c>
      <c r="JY5">
        <f>BDS("OVV US Equity","SUPPLY_CHAIN_CUSTOMERS_FULL_DATA")</f>
        <v/>
      </c>
      <c r="KO5">
        <f>BDS("COHR US Equity","SUPPLY_CHAIN_SUPPLIERS_FULL_DATA")</f>
        <v/>
      </c>
      <c r="LC5">
        <f>BDS("COHR US Equity","SUPPLY_CHAIN_CUSTOMERS_FULL_DATA")</f>
        <v/>
      </c>
      <c r="LS5">
        <f>BDS("CSCO US Equity","SUPPLY_CHAIN_SUPPLIERS_FULL_DATA")</f>
        <v/>
      </c>
      <c r="MG5">
        <f>BDS("CSCO US Equity","SUPPLY_CHAIN_CUSTOMERS_FULL_DATA")</f>
        <v/>
      </c>
      <c r="MW5">
        <f>BDS("EXDSQ US Equity","SUPPLY_CHAIN_SUPPLIERS_FULL_DATA")</f>
        <v/>
      </c>
      <c r="NK5">
        <f>BDS("EXDSQ US Equity","SUPPLY_CHAIN_CUSTOMERS_FULL_DATA")</f>
        <v/>
      </c>
      <c r="OA5">
        <f>BDS("FLG US Equity","SUPPLY_CHAIN_SUPPLIERS_FULL_DATA")</f>
        <v/>
      </c>
      <c r="OO5">
        <f>BDS("FLG US Equity","SUPPLY_CHAIN_CUSTOMERS_FULL_DATA")</f>
        <v/>
      </c>
      <c r="PE5">
        <f>BDS("MLM US Equity","SUPPLY_CHAIN_SUPPLIERS_FULL_DATA")</f>
        <v/>
      </c>
      <c r="PS5">
        <f>BDS("MLM US Equity","SUPPLY_CHAIN_CUSTOMERS_FULL_DATA")</f>
        <v/>
      </c>
      <c r="QI5">
        <f>BDS("1074528D US Equity","SUPPLY_CHAIN_SUPPLIERS_FULL_DATA")</f>
        <v/>
      </c>
      <c r="QW5">
        <f>BDS("1074528D US Equity","SUPPLY_CHAIN_CUSTOMERS_FULL_DATA")</f>
        <v/>
      </c>
      <c r="RM5">
        <f>BDS("1927294D US Equity","SUPPLY_CHAIN_SUPPLIERS_FULL_DATA")</f>
        <v/>
      </c>
      <c r="SA5">
        <f>BDS("1927294D US Equity","SUPPLY_CHAIN_CUSTOMERS_FULL_DATA")</f>
        <v/>
      </c>
      <c r="SQ5">
        <f>BDS("HFC US Equity","SUPPLY_CHAIN_SUPPLIERS_FULL_DATA")</f>
        <v/>
      </c>
      <c r="TE5">
        <f>BDS("HFC US Equity","SUPPLY_CHAIN_CUSTOMERS_FULL_DATA")</f>
        <v/>
      </c>
      <c r="TU5">
        <f>BDS("9990822D US Equity","SUPPLY_CHAIN_SUPPLIERS_FULL_DATA")</f>
        <v/>
      </c>
      <c r="UI5">
        <f>BDS("9990822D US Equity","SUPPLY_CHAIN_CUSTOMERS_FULL_DATA")</f>
        <v/>
      </c>
      <c r="UY5">
        <f>BDS("GT US Equity","SUPPLY_CHAIN_SUPPLIERS_FULL_DATA")</f>
        <v/>
      </c>
      <c r="VM5">
        <f>BDS("GT US Equity","SUPPLY_CHAIN_CUSTOMERS_FULL_DATA")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781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782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783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784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785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786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787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788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789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790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791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792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793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794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795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796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797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798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799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800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UNH US Equity</t>
        </is>
      </c>
      <c r="BI2" s="3" t="inlineStr">
        <is>
          <t>SSNC US Equity</t>
        </is>
      </c>
      <c r="CM2" s="3" t="inlineStr">
        <is>
          <t>NOC US Equity</t>
        </is>
      </c>
      <c r="DQ2" s="3" t="inlineStr">
        <is>
          <t>355488Q US Equity</t>
        </is>
      </c>
      <c r="EU2" s="3" t="inlineStr">
        <is>
          <t>FCX US Equity</t>
        </is>
      </c>
      <c r="FY2" s="3" t="inlineStr">
        <is>
          <t>nan Equity</t>
        </is>
      </c>
      <c r="HC2" s="3" t="inlineStr">
        <is>
          <t>URS US Equity</t>
        </is>
      </c>
      <c r="IG2" s="3" t="inlineStr">
        <is>
          <t>OEI US Equity</t>
        </is>
      </c>
      <c r="JK2" s="3" t="inlineStr">
        <is>
          <t>NCC US Equity</t>
        </is>
      </c>
      <c r="KO2" s="3" t="inlineStr">
        <is>
          <t>PK US Equity</t>
        </is>
      </c>
      <c r="LS2" s="3" t="inlineStr">
        <is>
          <t>ANDX US Equity</t>
        </is>
      </c>
      <c r="MW2" s="3" t="inlineStr">
        <is>
          <t>TEG US Equity</t>
        </is>
      </c>
      <c r="OA2" s="3" t="inlineStr">
        <is>
          <t>9210611D US Equity</t>
        </is>
      </c>
      <c r="PE2" s="3" t="inlineStr">
        <is>
          <t>HC US Equity</t>
        </is>
      </c>
      <c r="QI2" s="3" t="inlineStr">
        <is>
          <t>COR US Equity</t>
        </is>
      </c>
      <c r="RM2" s="3" t="inlineStr">
        <is>
          <t>MDP US Equity</t>
        </is>
      </c>
      <c r="SQ2" s="3" t="inlineStr">
        <is>
          <t>HPQ US Equity</t>
        </is>
      </c>
      <c r="TU2" s="3" t="inlineStr">
        <is>
          <t>9995522D US Equity</t>
        </is>
      </c>
      <c r="UY2" s="3" t="inlineStr">
        <is>
          <t>ONB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BDS("UNH US Equity","SUPPLY_CHAIN_SUPPLIERS_FULL_DATA")</f>
        <v/>
      </c>
      <c r="AS5">
        <f>BDS("UNH US Equity","SUPPLY_CHAIN_CUSTOMERS_FULL_DATA")</f>
        <v/>
      </c>
      <c r="BI5">
        <f>BDS("SSNC US Equity","SUPPLY_CHAIN_SUPPLIERS_FULL_DATA")</f>
        <v/>
      </c>
      <c r="BW5">
        <f>BDS("SSNC US Equity","SUPPLY_CHAIN_CUSTOMERS_FULL_DATA")</f>
        <v/>
      </c>
      <c r="CM5">
        <f>BDS("NOC US Equity","SUPPLY_CHAIN_SUPPLIERS_FULL_DATA")</f>
        <v/>
      </c>
      <c r="DA5">
        <f>BDS("NOC US Equity","SUPPLY_CHAIN_CUSTOMERS_FULL_DATA")</f>
        <v/>
      </c>
      <c r="DQ5">
        <f>BDS("355488Q US Equity","SUPPLY_CHAIN_SUPPLIERS_FULL_DATA")</f>
        <v/>
      </c>
      <c r="EE5">
        <f>BDS("355488Q US Equity","SUPPLY_CHAIN_CUSTOMERS_FULL_DATA")</f>
        <v/>
      </c>
      <c r="EU5">
        <f>BDS("FCX US Equity","SUPPLY_CHAIN_SUPPLIERS_FULL_DATA")</f>
        <v/>
      </c>
      <c r="FI5">
        <f>BDS("FCX US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BDS("URS US Equity","SUPPLY_CHAIN_SUPPLIERS_FULL_DATA")</f>
        <v/>
      </c>
      <c r="HQ5">
        <f>BDS("URS US Equity","SUPPLY_CHAIN_CUSTOMERS_FULL_DATA")</f>
        <v/>
      </c>
      <c r="IG5">
        <f>BDS("OEI US Equity","SUPPLY_CHAIN_SUPPLIERS_FULL_DATA")</f>
        <v/>
      </c>
      <c r="IU5">
        <f>BDS("OEI US Equity","SUPPLY_CHAIN_CUSTOMERS_FULL_DATA")</f>
        <v/>
      </c>
      <c r="JK5">
        <f>BDS("NCC US Equity","SUPPLY_CHAIN_SUPPLIERS_FULL_DATA")</f>
        <v/>
      </c>
      <c r="JY5">
        <f>BDS("NCC US Equity","SUPPLY_CHAIN_CUSTOMERS_FULL_DATA")</f>
        <v/>
      </c>
      <c r="KO5">
        <f>BDS("PK US Equity","SUPPLY_CHAIN_SUPPLIERS_FULL_DATA")</f>
        <v/>
      </c>
      <c r="LC5">
        <f>BDS("PK US Equity","SUPPLY_CHAIN_CUSTOMERS_FULL_DATA")</f>
        <v/>
      </c>
      <c r="LS5">
        <f>BDS("ANDX US Equity","SUPPLY_CHAIN_SUPPLIERS_FULL_DATA")</f>
        <v/>
      </c>
      <c r="MG5">
        <f>BDS("ANDX US Equity","SUPPLY_CHAIN_CUSTOMERS_FULL_DATA")</f>
        <v/>
      </c>
      <c r="MW5">
        <f>BDS("TEG US Equity","SUPPLY_CHAIN_SUPPLIERS_FULL_DATA")</f>
        <v/>
      </c>
      <c r="NK5">
        <f>BDS("TEG US Equity","SUPPLY_CHAIN_CUSTOMERS_FULL_DATA")</f>
        <v/>
      </c>
      <c r="OA5">
        <f>BDS("9210611D US Equity","SUPPLY_CHAIN_SUPPLIERS_FULL_DATA")</f>
        <v/>
      </c>
      <c r="OO5">
        <f>BDS("9210611D US Equity","SUPPLY_CHAIN_CUSTOMERS_FULL_DATA")</f>
        <v/>
      </c>
      <c r="PE5">
        <f>BDS("HC US Equity","SUPPLY_CHAIN_SUPPLIERS_FULL_DATA")</f>
        <v/>
      </c>
      <c r="PS5">
        <f>BDS("HC US Equity","SUPPLY_CHAIN_CUSTOMERS_FULL_DATA")</f>
        <v/>
      </c>
      <c r="QI5">
        <f>BDS("COR US Equity","SUPPLY_CHAIN_SUPPLIERS_FULL_DATA")</f>
        <v/>
      </c>
      <c r="QW5">
        <f>BDS("COR US Equity","SUPPLY_CHAIN_CUSTOMERS_FULL_DATA")</f>
        <v/>
      </c>
      <c r="RM5">
        <f>BDS("MDP US Equity","SUPPLY_CHAIN_SUPPLIERS_FULL_DATA")</f>
        <v/>
      </c>
      <c r="SA5">
        <f>BDS("MDP US Equity","SUPPLY_CHAIN_CUSTOMERS_FULL_DATA")</f>
        <v/>
      </c>
      <c r="SQ5">
        <f>BDS("HPQ US Equity","SUPPLY_CHAIN_SUPPLIERS_FULL_DATA")</f>
        <v/>
      </c>
      <c r="TE5">
        <f>BDS("HPQ US Equity","SUPPLY_CHAIN_CUSTOMERS_FULL_DATA")</f>
        <v/>
      </c>
      <c r="TU5">
        <f>BDS("9995522D US Equity","SUPPLY_CHAIN_SUPPLIERS_FULL_DATA")</f>
        <v/>
      </c>
      <c r="UI5">
        <f>BDS("9995522D US Equity","SUPPLY_CHAIN_CUSTOMERS_FULL_DATA")</f>
        <v/>
      </c>
      <c r="UY5">
        <f>BDS("ONB US Equity","SUPPLY_CHAIN_SUPPLIERS_FULL_DATA")</f>
        <v/>
      </c>
      <c r="VM5">
        <f>BDS("ONB US Equity","SUPPLY_CHAIN_CUSTOMERS_FULL_DATA")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801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802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803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804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805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806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807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808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809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810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811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812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813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814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815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816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817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818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819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820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BX US Equity</t>
        </is>
      </c>
      <c r="AE2" s="3" t="inlineStr">
        <is>
          <t>COV US Equity</t>
        </is>
      </c>
      <c r="BI2" s="3" t="inlineStr">
        <is>
          <t>PZL US Equity</t>
        </is>
      </c>
      <c r="CM2" s="3" t="inlineStr">
        <is>
          <t>KKR US Equity</t>
        </is>
      </c>
      <c r="DQ2" s="3" t="inlineStr">
        <is>
          <t>nan Equity</t>
        </is>
      </c>
      <c r="EU2" s="3" t="inlineStr">
        <is>
          <t>KR US Equity</t>
        </is>
      </c>
      <c r="FY2" s="3" t="inlineStr">
        <is>
          <t>MHS US Equity</t>
        </is>
      </c>
      <c r="HC2" s="3" t="inlineStr">
        <is>
          <t>RLJ US Equity</t>
        </is>
      </c>
      <c r="IG2" s="3" t="inlineStr">
        <is>
          <t>LVLT US Equity</t>
        </is>
      </c>
      <c r="JK2" s="3" t="inlineStr">
        <is>
          <t>UNH US Equity</t>
        </is>
      </c>
      <c r="KO2" s="3" t="inlineStr">
        <is>
          <t>1811934D US Equity</t>
        </is>
      </c>
      <c r="LS2" s="3" t="inlineStr">
        <is>
          <t>CRM US Equity</t>
        </is>
      </c>
      <c r="MW2" s="3" t="inlineStr">
        <is>
          <t>WHR US Equity</t>
        </is>
      </c>
      <c r="OA2" s="3" t="inlineStr">
        <is>
          <t>LLY US Equity</t>
        </is>
      </c>
      <c r="PE2" s="3" t="inlineStr">
        <is>
          <t>CNC US Equity</t>
        </is>
      </c>
      <c r="QI2" s="3" t="inlineStr">
        <is>
          <t>TFC US Equity</t>
        </is>
      </c>
      <c r="RM2" s="3" t="inlineStr">
        <is>
          <t>CPE US Equity</t>
        </is>
      </c>
      <c r="SQ2" s="3" t="inlineStr">
        <is>
          <t>SCHW US Equity</t>
        </is>
      </c>
      <c r="TU2" s="3" t="inlineStr">
        <is>
          <t>PAA US Equity</t>
        </is>
      </c>
      <c r="UY2" s="3" t="inlineStr">
        <is>
          <t>NOV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BDS("BX US Equity","SUPPLY_CHAIN_SUPPLIERS_FULL_DATA")</f>
        <v/>
      </c>
      <c r="O5">
        <f>BDS("BX US Equity","SUPPLY_CHAIN_CUSTOMERS_FULL_DATA")</f>
        <v/>
      </c>
      <c r="AE5">
        <f>BDS("COV US Equity","SUPPLY_CHAIN_SUPPLIERS_FULL_DATA")</f>
        <v/>
      </c>
      <c r="AS5">
        <f>BDS("COV US Equity","SUPPLY_CHAIN_CUSTOMERS_FULL_DATA")</f>
        <v/>
      </c>
      <c r="BI5">
        <f>BDS("PZL US Equity","SUPPLY_CHAIN_SUPPLIERS_FULL_DATA")</f>
        <v/>
      </c>
      <c r="BW5">
        <f>BDS("PZL US Equity","SUPPLY_CHAIN_CUSTOMERS_FULL_DATA")</f>
        <v/>
      </c>
      <c r="CM5">
        <f>BDS("KKR US Equity","SUPPLY_CHAIN_SUPPLIERS_FULL_DATA")</f>
        <v/>
      </c>
      <c r="DA5">
        <f>BDS("KKR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BDS("KR US Equity","SUPPLY_CHAIN_SUPPLIERS_FULL_DATA")</f>
        <v/>
      </c>
      <c r="FI5">
        <f>BDS("KR US Equity","SUPPLY_CHAIN_CUSTOMERS_FULL_DATA")</f>
        <v/>
      </c>
      <c r="FY5">
        <f>BDS("MHS US Equity","SUPPLY_CHAIN_SUPPLIERS_FULL_DATA")</f>
        <v/>
      </c>
      <c r="GM5">
        <f>BDS("MHS US Equity","SUPPLY_CHAIN_CUSTOMERS_FULL_DATA")</f>
        <v/>
      </c>
      <c r="HC5">
        <f>BDS("RLJ US Equity","SUPPLY_CHAIN_SUPPLIERS_FULL_DATA")</f>
        <v/>
      </c>
      <c r="HQ5">
        <f>BDS("RLJ US Equity","SUPPLY_CHAIN_CUSTOMERS_FULL_DATA")</f>
        <v/>
      </c>
      <c r="IG5">
        <f>BDS("LVLT US Equity","SUPPLY_CHAIN_SUPPLIERS_FULL_DATA")</f>
        <v/>
      </c>
      <c r="IU5">
        <f>BDS("LVLT US Equity","SUPPLY_CHAIN_CUSTOMERS_FULL_DATA")</f>
        <v/>
      </c>
      <c r="JK5">
        <f>BDS("UNH US Equity","SUPPLY_CHAIN_SUPPLIERS_FULL_DATA")</f>
        <v/>
      </c>
      <c r="JY5">
        <f>BDS("UNH US Equity","SUPPLY_CHAIN_CUSTOMERS_FULL_DATA")</f>
        <v/>
      </c>
      <c r="KO5">
        <f>BDS("1811934D US Equity","SUPPLY_CHAIN_SUPPLIERS_FULL_DATA")</f>
        <v/>
      </c>
      <c r="LC5">
        <f>BDS("1811934D US Equity","SUPPLY_CHAIN_CUSTOMERS_FULL_DATA")</f>
        <v/>
      </c>
      <c r="LS5">
        <f>BDS("CRM US Equity","SUPPLY_CHAIN_SUPPLIERS_FULL_DATA")</f>
        <v/>
      </c>
      <c r="MG5">
        <f>BDS("CRM US Equity","SUPPLY_CHAIN_CUSTOMERS_FULL_DATA")</f>
        <v/>
      </c>
      <c r="MW5">
        <f>BDS("WHR US Equity","SUPPLY_CHAIN_SUPPLIERS_FULL_DATA")</f>
        <v/>
      </c>
      <c r="NK5">
        <f>BDS("WHR US Equity","SUPPLY_CHAIN_CUSTOMERS_FULL_DATA")</f>
        <v/>
      </c>
      <c r="OA5">
        <f>BDS("LLY US Equity","SUPPLY_CHAIN_SUPPLIERS_FULL_DATA")</f>
        <v/>
      </c>
      <c r="OO5">
        <f>BDS("LLY US Equity","SUPPLY_CHAIN_CUSTOMERS_FULL_DATA")</f>
        <v/>
      </c>
      <c r="PE5">
        <f>BDS("CNC US Equity","SUPPLY_CHAIN_SUPPLIERS_FULL_DATA")</f>
        <v/>
      </c>
      <c r="PS5">
        <f>BDS("CNC US Equity","SUPPLY_CHAIN_CUSTOMERS_FULL_DATA")</f>
        <v/>
      </c>
      <c r="QI5">
        <f>BDS("TFC US Equity","SUPPLY_CHAIN_SUPPLIERS_FULL_DATA")</f>
        <v/>
      </c>
      <c r="QW5">
        <f>BDS("TFC US Equity","SUPPLY_CHAIN_CUSTOMERS_FULL_DATA")</f>
        <v/>
      </c>
      <c r="RM5">
        <f>BDS("CPE US Equity","SUPPLY_CHAIN_SUPPLIERS_FULL_DATA")</f>
        <v/>
      </c>
      <c r="SA5">
        <f>BDS("CPE US Equity","SUPPLY_CHAIN_CUSTOMERS_FULL_DATA")</f>
        <v/>
      </c>
      <c r="SQ5">
        <f>BDS("SCHW US Equity","SUPPLY_CHAIN_SUPPLIERS_FULL_DATA")</f>
        <v/>
      </c>
      <c r="TE5">
        <f>BDS("SCHW US Equity","SUPPLY_CHAIN_CUSTOMERS_FULL_DATA")</f>
        <v/>
      </c>
      <c r="TU5">
        <f>BDS("PAA US Equity","SUPPLY_CHAIN_SUPPLIERS_FULL_DATA")</f>
        <v/>
      </c>
      <c r="UI5">
        <f>BDS("PAA US Equity","SUPPLY_CHAIN_CUSTOMERS_FULL_DATA")</f>
        <v/>
      </c>
      <c r="UY5">
        <f>BDS("NOV US Equity","SUPPLY_CHAIN_SUPPLIERS_FULL_DATA")</f>
        <v/>
      </c>
      <c r="VM5">
        <f>BDS("NOV US Equity","SUPPLY_CHAIN_CUSTOMERS_FULL_DATA")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821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822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823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824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825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826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827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828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829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830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831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832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833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834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835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836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837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838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839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840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 US Equity</t>
        </is>
      </c>
      <c r="AE2" s="3" t="inlineStr">
        <is>
          <t>EOP US Equity</t>
        </is>
      </c>
      <c r="BI2" s="3" t="inlineStr">
        <is>
          <t>MSCC US Equity</t>
        </is>
      </c>
      <c r="CM2" s="3" t="inlineStr">
        <is>
          <t>DD US Equity</t>
        </is>
      </c>
      <c r="DQ2" s="3" t="inlineStr">
        <is>
          <t>MRK US Equity</t>
        </is>
      </c>
      <c r="EU2" s="3" t="inlineStr">
        <is>
          <t>BKNG US Equity</t>
        </is>
      </c>
      <c r="FY2" s="3" t="inlineStr">
        <is>
          <t>SAIC US Equity</t>
        </is>
      </c>
      <c r="HC2" s="3" t="inlineStr">
        <is>
          <t>BRK/A US Equity</t>
        </is>
      </c>
      <c r="IG2" s="3" t="inlineStr">
        <is>
          <t>D US Equity</t>
        </is>
      </c>
      <c r="JK2" s="3" t="inlineStr">
        <is>
          <t>0574018D US Equity</t>
        </is>
      </c>
      <c r="KO2" s="3" t="inlineStr">
        <is>
          <t>SAFE US Equity</t>
        </is>
      </c>
      <c r="LS2" s="3" t="inlineStr">
        <is>
          <t>MMP US Equity</t>
        </is>
      </c>
      <c r="MW2" s="3" t="inlineStr">
        <is>
          <t>TPR US Equity</t>
        </is>
      </c>
      <c r="OA2" s="3" t="inlineStr">
        <is>
          <t>nan Equity</t>
        </is>
      </c>
      <c r="PE2" s="3" t="inlineStr">
        <is>
          <t>PSX US Equity</t>
        </is>
      </c>
      <c r="QI2" s="3" t="inlineStr">
        <is>
          <t>748957Q US Equity</t>
        </is>
      </c>
      <c r="RM2" s="3" t="inlineStr">
        <is>
          <t>667517Q US Equity</t>
        </is>
      </c>
      <c r="SQ2" s="3" t="inlineStr">
        <is>
          <t>PE US Equity</t>
        </is>
      </c>
      <c r="TU2" s="3" t="inlineStr">
        <is>
          <t>SPXC US Equity</t>
        </is>
      </c>
      <c r="UY2" s="3" t="inlineStr">
        <is>
          <t>CBRE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 US Equity","SUPPLY_CHAIN_SUPPLIERS_FULL_DATA")</f>
        <v/>
      </c>
      <c r="O5">
        <f>BDS("C US Equity","SUPPLY_CHAIN_CUSTOMERS_FULL_DATA")</f>
        <v/>
      </c>
      <c r="AE5">
        <f>BDS("EOP US Equity","SUPPLY_CHAIN_SUPPLIERS_FULL_DATA")</f>
        <v/>
      </c>
      <c r="AS5">
        <f>BDS("EOP US Equity","SUPPLY_CHAIN_CUSTOMERS_FULL_DATA")</f>
        <v/>
      </c>
      <c r="BI5">
        <f>BDS("MSCC US Equity","SUPPLY_CHAIN_SUPPLIERS_FULL_DATA")</f>
        <v/>
      </c>
      <c r="BW5">
        <f>BDS("MSCC US Equity","SUPPLY_CHAIN_CUSTOMERS_FULL_DATA")</f>
        <v/>
      </c>
      <c r="CM5">
        <f>BDS("DD US Equity","SUPPLY_CHAIN_SUPPLIERS_FULL_DATA")</f>
        <v/>
      </c>
      <c r="DA5">
        <f>BDS("DD US Equity","SUPPLY_CHAIN_CUSTOMERS_FULL_DATA")</f>
        <v/>
      </c>
      <c r="DQ5">
        <f>BDS("MRK US Equity","SUPPLY_CHAIN_SUPPLIERS_FULL_DATA")</f>
        <v/>
      </c>
      <c r="EE5">
        <f>BDS("MRK US Equity","SUPPLY_CHAIN_CUSTOMERS_FULL_DATA")</f>
        <v/>
      </c>
      <c r="EU5">
        <f>BDS("BKNG US Equity","SUPPLY_CHAIN_SUPPLIERS_FULL_DATA")</f>
        <v/>
      </c>
      <c r="FI5">
        <f>BDS("BKNG US Equity","SUPPLY_CHAIN_CUSTOMERS_FULL_DATA")</f>
        <v/>
      </c>
      <c r="FY5">
        <f>BDS("SAIC US Equity","SUPPLY_CHAIN_SUPPLIERS_FULL_DATA")</f>
        <v/>
      </c>
      <c r="GM5">
        <f>BDS("SAIC US Equity","SUPPLY_CHAIN_CUSTOMERS_FULL_DATA")</f>
        <v/>
      </c>
      <c r="HC5">
        <f>BDS("BRK/A US Equity","SUPPLY_CHAIN_SUPPLIERS_FULL_DATA")</f>
        <v/>
      </c>
      <c r="HQ5">
        <f>BDS("BRK/A US Equity","SUPPLY_CHAIN_CUSTOMERS_FULL_DATA")</f>
        <v/>
      </c>
      <c r="IG5">
        <f>BDS("D US Equity","SUPPLY_CHAIN_SUPPLIERS_FULL_DATA")</f>
        <v/>
      </c>
      <c r="IU5">
        <f>BDS("D US Equity","SUPPLY_CHAIN_CUSTOMERS_FULL_DATA")</f>
        <v/>
      </c>
      <c r="JK5">
        <f>BDS("0574018D US Equity","SUPPLY_CHAIN_SUPPLIERS_FULL_DATA")</f>
        <v/>
      </c>
      <c r="JY5">
        <f>BDS("0574018D US Equity","SUPPLY_CHAIN_CUSTOMERS_FULL_DATA")</f>
        <v/>
      </c>
      <c r="KO5">
        <f>BDS("SAFE US Equity","SUPPLY_CHAIN_SUPPLIERS_FULL_DATA")</f>
        <v/>
      </c>
      <c r="LC5">
        <f>BDS("SAFE US Equity","SUPPLY_CHAIN_CUSTOMERS_FULL_DATA")</f>
        <v/>
      </c>
      <c r="LS5">
        <f>BDS("MMP US Equity","SUPPLY_CHAIN_SUPPLIERS_FULL_DATA")</f>
        <v/>
      </c>
      <c r="MG5">
        <f>BDS("MMP US Equity","SUPPLY_CHAIN_CUSTOMERS_FULL_DATA")</f>
        <v/>
      </c>
      <c r="MW5">
        <f>BDS("TPR US Equity","SUPPLY_CHAIN_SUPPLIERS_FULL_DATA")</f>
        <v/>
      </c>
      <c r="NK5">
        <f>BDS("TPR US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BDS("PSX US Equity","SUPPLY_CHAIN_SUPPLIERS_FULL_DATA")</f>
        <v/>
      </c>
      <c r="PS5">
        <f>BDS("PSX US Equity","SUPPLY_CHAIN_CUSTOMERS_FULL_DATA")</f>
        <v/>
      </c>
      <c r="QI5">
        <f>BDS("748957Q US Equity","SUPPLY_CHAIN_SUPPLIERS_FULL_DATA")</f>
        <v/>
      </c>
      <c r="QW5">
        <f>BDS("748957Q US Equity","SUPPLY_CHAIN_CUSTOMERS_FULL_DATA")</f>
        <v/>
      </c>
      <c r="RM5">
        <f>BDS("667517Q US Equity","SUPPLY_CHAIN_SUPPLIERS_FULL_DATA")</f>
        <v/>
      </c>
      <c r="SA5">
        <f>BDS("667517Q US Equity","SUPPLY_CHAIN_CUSTOMERS_FULL_DATA")</f>
        <v/>
      </c>
      <c r="SQ5">
        <f>BDS("PE US Equity","SUPPLY_CHAIN_SUPPLIERS_FULL_DATA")</f>
        <v/>
      </c>
      <c r="TE5">
        <f>BDS("PE US Equity","SUPPLY_CHAIN_CUSTOMERS_FULL_DATA")</f>
        <v/>
      </c>
      <c r="TU5">
        <f>BDS("SPXC US Equity","SUPPLY_CHAIN_SUPPLIERS_FULL_DATA")</f>
        <v/>
      </c>
      <c r="UI5">
        <f>BDS("SPXC US Equity","SUPPLY_CHAIN_CUSTOMERS_FULL_DATA")</f>
        <v/>
      </c>
      <c r="UY5">
        <f>BDS("CBRE US Equity","SUPPLY_CHAIN_SUPPLIERS_FULL_DATA")</f>
        <v/>
      </c>
      <c r="VM5">
        <f>BDS("CBRE US Equity","SUPPLY_CHAIN_CUSTOMERS_FULL_DATA")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841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842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843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844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845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846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847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848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849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850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851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852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853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854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855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856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857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858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859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860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AGN US Equity</t>
        </is>
      </c>
      <c r="AE2" s="3" t="inlineStr">
        <is>
          <t>VTR US Equity</t>
        </is>
      </c>
      <c r="BI2" s="3" t="inlineStr">
        <is>
          <t>JNJ US Equity</t>
        </is>
      </c>
      <c r="CM2" s="3" t="inlineStr">
        <is>
          <t>AEE US Equity</t>
        </is>
      </c>
      <c r="DQ2" s="3" t="inlineStr">
        <is>
          <t>LEARQ US Equity</t>
        </is>
      </c>
      <c r="EU2" s="3" t="inlineStr">
        <is>
          <t>MXIM US Equity</t>
        </is>
      </c>
      <c r="FY2" s="3" t="inlineStr">
        <is>
          <t>EQM US Equity</t>
        </is>
      </c>
      <c r="HC2" s="3" t="inlineStr">
        <is>
          <t>GPT US Equity</t>
        </is>
      </c>
      <c r="IG2" s="3" t="inlineStr">
        <is>
          <t>2649Q US Equity</t>
        </is>
      </c>
      <c r="JK2" s="3" t="inlineStr">
        <is>
          <t>ZG US Equity</t>
        </is>
      </c>
      <c r="KO2" s="3" t="inlineStr">
        <is>
          <t>ROVI US Equity</t>
        </is>
      </c>
      <c r="LS2" s="3" t="inlineStr">
        <is>
          <t>1837572D US Equity</t>
        </is>
      </c>
      <c r="MW2" s="3" t="inlineStr">
        <is>
          <t>INTC US Equity</t>
        </is>
      </c>
      <c r="OA2" s="3" t="inlineStr">
        <is>
          <t>QVCGA US Equity</t>
        </is>
      </c>
      <c r="PE2" s="3" t="inlineStr">
        <is>
          <t>1235274D US Equity</t>
        </is>
      </c>
      <c r="QI2" s="3" t="inlineStr">
        <is>
          <t>HEROQ US Equity</t>
        </is>
      </c>
      <c r="RM2" s="3" t="inlineStr">
        <is>
          <t>1465949D US Equity</t>
        </is>
      </c>
      <c r="SQ2" s="3" t="inlineStr">
        <is>
          <t>RSG US Equity</t>
        </is>
      </c>
      <c r="TU2" s="3" t="inlineStr">
        <is>
          <t>CSCO US Equity</t>
        </is>
      </c>
      <c r="UY2" s="3" t="inlineStr">
        <is>
          <t>CSCO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BDS("AGN US Equity","SUPPLY_CHAIN_SUPPLIERS_FULL_DATA")</f>
        <v/>
      </c>
      <c r="O5">
        <f>BDS("AGN US Equity","SUPPLY_CHAIN_CUSTOMERS_FULL_DATA")</f>
        <v/>
      </c>
      <c r="AE5">
        <f>BDS("VTR US Equity","SUPPLY_CHAIN_SUPPLIERS_FULL_DATA")</f>
        <v/>
      </c>
      <c r="AS5">
        <f>BDS("VTR US Equity","SUPPLY_CHAIN_CUSTOMERS_FULL_DATA")</f>
        <v/>
      </c>
      <c r="BI5">
        <f>BDS("JNJ US Equity","SUPPLY_CHAIN_SUPPLIERS_FULL_DATA")</f>
        <v/>
      </c>
      <c r="BW5">
        <f>BDS("JNJ US Equity","SUPPLY_CHAIN_CUSTOMERS_FULL_DATA")</f>
        <v/>
      </c>
      <c r="CM5">
        <f>BDS("AEE US Equity","SUPPLY_CHAIN_SUPPLIERS_FULL_DATA")</f>
        <v/>
      </c>
      <c r="DA5">
        <f>BDS("AEE US Equity","SUPPLY_CHAIN_CUSTOMERS_FULL_DATA")</f>
        <v/>
      </c>
      <c r="DQ5">
        <f>BDS("LEARQ US Equity","SUPPLY_CHAIN_SUPPLIERS_FULL_DATA")</f>
        <v/>
      </c>
      <c r="EE5">
        <f>BDS("LEARQ US Equity","SUPPLY_CHAIN_CUSTOMERS_FULL_DATA")</f>
        <v/>
      </c>
      <c r="EU5">
        <f>BDS("MXIM US Equity","SUPPLY_CHAIN_SUPPLIERS_FULL_DATA")</f>
        <v/>
      </c>
      <c r="FI5">
        <f>BDS("MXIM US Equity","SUPPLY_CHAIN_CUSTOMERS_FULL_DATA")</f>
        <v/>
      </c>
      <c r="FY5">
        <f>BDS("EQM US Equity","SUPPLY_CHAIN_SUPPLIERS_FULL_DATA")</f>
        <v/>
      </c>
      <c r="GM5">
        <f>BDS("EQM US Equity","SUPPLY_CHAIN_CUSTOMERS_FULL_DATA")</f>
        <v/>
      </c>
      <c r="HC5">
        <f>BDS("GPT US Equity","SUPPLY_CHAIN_SUPPLIERS_FULL_DATA")</f>
        <v/>
      </c>
      <c r="HQ5">
        <f>BDS("GPT US Equity","SUPPLY_CHAIN_CUSTOMERS_FULL_DATA")</f>
        <v/>
      </c>
      <c r="IG5">
        <f>BDS("2649Q US Equity","SUPPLY_CHAIN_SUPPLIERS_FULL_DATA")</f>
        <v/>
      </c>
      <c r="IU5">
        <f>BDS("2649Q US Equity","SUPPLY_CHAIN_CUSTOMERS_FULL_DATA")</f>
        <v/>
      </c>
      <c r="JK5">
        <f>BDS("ZG US Equity","SUPPLY_CHAIN_SUPPLIERS_FULL_DATA")</f>
        <v/>
      </c>
      <c r="JY5">
        <f>BDS("ZG US Equity","SUPPLY_CHAIN_CUSTOMERS_FULL_DATA")</f>
        <v/>
      </c>
      <c r="KO5">
        <f>BDS("ROVI US Equity","SUPPLY_CHAIN_SUPPLIERS_FULL_DATA")</f>
        <v/>
      </c>
      <c r="LC5">
        <f>BDS("ROVI US Equity","SUPPLY_CHAIN_CUSTOMERS_FULL_DATA")</f>
        <v/>
      </c>
      <c r="LS5">
        <f>BDS("1837572D US Equity","SUPPLY_CHAIN_SUPPLIERS_FULL_DATA")</f>
        <v/>
      </c>
      <c r="MG5">
        <f>BDS("1837572D US Equity","SUPPLY_CHAIN_CUSTOMERS_FULL_DATA")</f>
        <v/>
      </c>
      <c r="MW5">
        <f>BDS("INTC US Equity","SUPPLY_CHAIN_SUPPLIERS_FULL_DATA")</f>
        <v/>
      </c>
      <c r="NK5">
        <f>BDS("INTC US Equity","SUPPLY_CHAIN_CUSTOMERS_FULL_DATA")</f>
        <v/>
      </c>
      <c r="OA5">
        <f>BDS("QVCGA US Equity","SUPPLY_CHAIN_SUPPLIERS_FULL_DATA")</f>
        <v/>
      </c>
      <c r="OO5">
        <f>BDS("QVCGA US Equity","SUPPLY_CHAIN_CUSTOMERS_FULL_DATA")</f>
        <v/>
      </c>
      <c r="PE5">
        <f>BDS("1235274D US Equity","SUPPLY_CHAIN_SUPPLIERS_FULL_DATA")</f>
        <v/>
      </c>
      <c r="PS5">
        <f>BDS("1235274D US Equity","SUPPLY_CHAIN_CUSTOMERS_FULL_DATA")</f>
        <v/>
      </c>
      <c r="QI5">
        <f>BDS("HEROQ US Equity","SUPPLY_CHAIN_SUPPLIERS_FULL_DATA")</f>
        <v/>
      </c>
      <c r="QW5">
        <f>BDS("HEROQ US Equity","SUPPLY_CHAIN_CUSTOMERS_FULL_DATA")</f>
        <v/>
      </c>
      <c r="RM5">
        <f>BDS("1465949D US Equity","SUPPLY_CHAIN_SUPPLIERS_FULL_DATA")</f>
        <v/>
      </c>
      <c r="SA5">
        <f>BDS("1465949D US Equity","SUPPLY_CHAIN_CUSTOMERS_FULL_DATA")</f>
        <v/>
      </c>
      <c r="SQ5">
        <f>BDS("RSG US Equity","SUPPLY_CHAIN_SUPPLIERS_FULL_DATA")</f>
        <v/>
      </c>
      <c r="TE5">
        <f>BDS("RSG US Equity","SUPPLY_CHAIN_CUSTOMERS_FULL_DATA")</f>
        <v/>
      </c>
      <c r="TU5">
        <f>BDS("CSCO US Equity","SUPPLY_CHAIN_SUPPLIERS_FULL_DATA")</f>
        <v/>
      </c>
      <c r="UI5">
        <f>BDS("CSCO US Equity","SUPPLY_CHAIN_CUSTOMERS_FULL_DATA")</f>
        <v/>
      </c>
      <c r="UY5">
        <f>BDS("CSCO US Equity","SUPPLY_CHAIN_SUPPLIERS_FULL_DATA")</f>
        <v/>
      </c>
      <c r="VM5">
        <f>BDS("CSCO US Equity","SUPPLY_CHAIN_CUSTOMERS_FULL_DATA")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861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862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863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864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865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866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867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868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869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870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871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872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873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874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875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876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877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878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879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880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LYO US Equity</t>
        </is>
      </c>
      <c r="AE2" s="3" t="inlineStr">
        <is>
          <t>BFH US Equity</t>
        </is>
      </c>
      <c r="BI2" s="3" t="inlineStr">
        <is>
          <t>nan Equity</t>
        </is>
      </c>
      <c r="CM2" s="3" t="inlineStr">
        <is>
          <t>1683997D US Equity</t>
        </is>
      </c>
      <c r="DQ2" s="3" t="inlineStr">
        <is>
          <t>CUZ US Equity</t>
        </is>
      </c>
      <c r="EU2" s="3" t="inlineStr">
        <is>
          <t>BBEPQ US Equity</t>
        </is>
      </c>
      <c r="FY2" s="3" t="inlineStr">
        <is>
          <t>PACW US Equity</t>
        </is>
      </c>
      <c r="HC2" s="3" t="inlineStr">
        <is>
          <t>KNX US Equity</t>
        </is>
      </c>
      <c r="IG2" s="3" t="inlineStr">
        <is>
          <t>ON US Equity</t>
        </is>
      </c>
      <c r="JK2" s="3" t="inlineStr">
        <is>
          <t>DFODQ US Equity</t>
        </is>
      </c>
      <c r="KO2" s="3" t="inlineStr">
        <is>
          <t>AGR US Equity</t>
        </is>
      </c>
      <c r="LS2" s="3" t="inlineStr">
        <is>
          <t>ENDPQ US Equity</t>
        </is>
      </c>
      <c r="MW2" s="3" t="inlineStr">
        <is>
          <t>VTR US Equity</t>
        </is>
      </c>
      <c r="OA2" s="3" t="inlineStr">
        <is>
          <t>IPG US Equity</t>
        </is>
      </c>
      <c r="PE2" s="3" t="inlineStr">
        <is>
          <t>CLF US Equity</t>
        </is>
      </c>
      <c r="QI2" s="3" t="inlineStr">
        <is>
          <t>AMGN US Equity</t>
        </is>
      </c>
      <c r="RM2" s="3" t="inlineStr">
        <is>
          <t>1255173D US Equity</t>
        </is>
      </c>
      <c r="SQ2" s="3" t="inlineStr">
        <is>
          <t>OHI US Equity</t>
        </is>
      </c>
      <c r="TU2" s="3" t="inlineStr">
        <is>
          <t>WINMQ US Equity</t>
        </is>
      </c>
      <c r="UY2" s="3" t="inlineStr">
        <is>
          <t>GD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BDS("LYO US Equity","SUPPLY_CHAIN_SUPPLIERS_FULL_DATA")</f>
        <v/>
      </c>
      <c r="O5">
        <f>BDS("LYO US Equity","SUPPLY_CHAIN_CUSTOMERS_FULL_DATA")</f>
        <v/>
      </c>
      <c r="AE5">
        <f>BDS("BFH US Equity","SUPPLY_CHAIN_SUPPLIERS_FULL_DATA")</f>
        <v/>
      </c>
      <c r="AS5">
        <f>BDS("BFH US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BDS("1683997D US Equity","SUPPLY_CHAIN_SUPPLIERS_FULL_DATA")</f>
        <v/>
      </c>
      <c r="DA5">
        <f>BDS("1683997D US Equity","SUPPLY_CHAIN_CUSTOMERS_FULL_DATA")</f>
        <v/>
      </c>
      <c r="DQ5">
        <f>BDS("CUZ US Equity","SUPPLY_CHAIN_SUPPLIERS_FULL_DATA")</f>
        <v/>
      </c>
      <c r="EE5">
        <f>BDS("CUZ US Equity","SUPPLY_CHAIN_CUSTOMERS_FULL_DATA")</f>
        <v/>
      </c>
      <c r="EU5">
        <f>BDS("BBEPQ US Equity","SUPPLY_CHAIN_SUPPLIERS_FULL_DATA")</f>
        <v/>
      </c>
      <c r="FI5">
        <f>BDS("BBEPQ US Equity","SUPPLY_CHAIN_CUSTOMERS_FULL_DATA")</f>
        <v/>
      </c>
      <c r="FY5">
        <f>BDS("PACW US Equity","SUPPLY_CHAIN_SUPPLIERS_FULL_DATA")</f>
        <v/>
      </c>
      <c r="GM5">
        <f>BDS("PACW US Equity","SUPPLY_CHAIN_CUSTOMERS_FULL_DATA")</f>
        <v/>
      </c>
      <c r="HC5">
        <f>BDS("KNX US Equity","SUPPLY_CHAIN_SUPPLIERS_FULL_DATA")</f>
        <v/>
      </c>
      <c r="HQ5">
        <f>BDS("KNX US Equity","SUPPLY_CHAIN_CUSTOMERS_FULL_DATA")</f>
        <v/>
      </c>
      <c r="IG5">
        <f>BDS("ON US Equity","SUPPLY_CHAIN_SUPPLIERS_FULL_DATA")</f>
        <v/>
      </c>
      <c r="IU5">
        <f>BDS("ON US Equity","SUPPLY_CHAIN_CUSTOMERS_FULL_DATA")</f>
        <v/>
      </c>
      <c r="JK5">
        <f>BDS("DFODQ US Equity","SUPPLY_CHAIN_SUPPLIERS_FULL_DATA")</f>
        <v/>
      </c>
      <c r="JY5">
        <f>BDS("DFODQ US Equity","SUPPLY_CHAIN_CUSTOMERS_FULL_DATA")</f>
        <v/>
      </c>
      <c r="KO5">
        <f>BDS("AGR US Equity","SUPPLY_CHAIN_SUPPLIERS_FULL_DATA")</f>
        <v/>
      </c>
      <c r="LC5">
        <f>BDS("AGR US Equity","SUPPLY_CHAIN_CUSTOMERS_FULL_DATA")</f>
        <v/>
      </c>
      <c r="LS5">
        <f>BDS("ENDPQ US Equity","SUPPLY_CHAIN_SUPPLIERS_FULL_DATA")</f>
        <v/>
      </c>
      <c r="MG5">
        <f>BDS("ENDPQ US Equity","SUPPLY_CHAIN_CUSTOMERS_FULL_DATA")</f>
        <v/>
      </c>
      <c r="MW5">
        <f>BDS("VTR US Equity","SUPPLY_CHAIN_SUPPLIERS_FULL_DATA")</f>
        <v/>
      </c>
      <c r="NK5">
        <f>BDS("VTR US Equity","SUPPLY_CHAIN_CUSTOMERS_FULL_DATA")</f>
        <v/>
      </c>
      <c r="OA5">
        <f>BDS("IPG US Equity","SUPPLY_CHAIN_SUPPLIERS_FULL_DATA")</f>
        <v/>
      </c>
      <c r="OO5">
        <f>BDS("IPG US Equity","SUPPLY_CHAIN_CUSTOMERS_FULL_DATA")</f>
        <v/>
      </c>
      <c r="PE5">
        <f>BDS("CLF US Equity","SUPPLY_CHAIN_SUPPLIERS_FULL_DATA")</f>
        <v/>
      </c>
      <c r="PS5">
        <f>BDS("CLF US Equity","SUPPLY_CHAIN_CUSTOMERS_FULL_DATA")</f>
        <v/>
      </c>
      <c r="QI5">
        <f>BDS("AMGN US Equity","SUPPLY_CHAIN_SUPPLIERS_FULL_DATA")</f>
        <v/>
      </c>
      <c r="QW5">
        <f>BDS("AMGN US Equity","SUPPLY_CHAIN_CUSTOMERS_FULL_DATA")</f>
        <v/>
      </c>
      <c r="RM5">
        <f>BDS("1255173D US Equity","SUPPLY_CHAIN_SUPPLIERS_FULL_DATA")</f>
        <v/>
      </c>
      <c r="SA5">
        <f>BDS("1255173D US Equity","SUPPLY_CHAIN_CUSTOMERS_FULL_DATA")</f>
        <v/>
      </c>
      <c r="SQ5">
        <f>BDS("OHI US Equity","SUPPLY_CHAIN_SUPPLIERS_FULL_DATA")</f>
        <v/>
      </c>
      <c r="TE5">
        <f>BDS("OHI US Equity","SUPPLY_CHAIN_CUSTOMERS_FULL_DATA")</f>
        <v/>
      </c>
      <c r="TU5">
        <f>BDS("WINMQ US Equity","SUPPLY_CHAIN_SUPPLIERS_FULL_DATA")</f>
        <v/>
      </c>
      <c r="UI5">
        <f>BDS("WINMQ US Equity","SUPPLY_CHAIN_CUSTOMERS_FULL_DATA")</f>
        <v/>
      </c>
      <c r="UY5">
        <f>BDS("GD US Equity","SUPPLY_CHAIN_SUPPLIERS_FULL_DATA")</f>
        <v/>
      </c>
      <c r="VM5">
        <f>BDS("GD US Equity","SUPPLY_CHAIN_CUSTOMERS_FULL_DATA")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881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882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883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884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885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886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887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888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889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890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891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892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893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894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895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896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897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898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899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900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AKAM US Equity</t>
        </is>
      </c>
      <c r="AE2" s="3" t="inlineStr">
        <is>
          <t>VZ US Equity</t>
        </is>
      </c>
      <c r="BI2" s="3" t="inlineStr">
        <is>
          <t>GEN US Equity</t>
        </is>
      </c>
      <c r="CM2" s="3" t="inlineStr">
        <is>
          <t>FANG US Equity</t>
        </is>
      </c>
      <c r="DQ2" s="3" t="inlineStr">
        <is>
          <t>XOXOQ US Equity</t>
        </is>
      </c>
      <c r="EU2" s="3" t="inlineStr">
        <is>
          <t>EXXIQ US Equity</t>
        </is>
      </c>
      <c r="FY2" s="3" t="inlineStr">
        <is>
          <t>IEP US Equity</t>
        </is>
      </c>
      <c r="HC2" s="3" t="inlineStr">
        <is>
          <t>GR US Equity</t>
        </is>
      </c>
      <c r="IG2" s="3" t="inlineStr">
        <is>
          <t>ALK US Equity</t>
        </is>
      </c>
      <c r="JK2" s="3" t="inlineStr">
        <is>
          <t>STL US Equity</t>
        </is>
      </c>
      <c r="KO2" s="3" t="inlineStr">
        <is>
          <t>HES US Equity</t>
        </is>
      </c>
      <c r="LS2" s="3" t="inlineStr">
        <is>
          <t>GILD US Equity</t>
        </is>
      </c>
      <c r="MW2" s="3" t="inlineStr">
        <is>
          <t>TMHC US Equity</t>
        </is>
      </c>
      <c r="OA2" s="3" t="inlineStr">
        <is>
          <t>VZ US Equity</t>
        </is>
      </c>
      <c r="PE2" s="3" t="inlineStr">
        <is>
          <t>HON US Equity</t>
        </is>
      </c>
      <c r="QI2" s="3" t="inlineStr">
        <is>
          <t>ZAYO US Equity</t>
        </is>
      </c>
      <c r="RM2" s="3" t="inlineStr">
        <is>
          <t>9990531D US Equity</t>
        </is>
      </c>
      <c r="SQ2" s="3" t="inlineStr">
        <is>
          <t>RC US Equity</t>
        </is>
      </c>
      <c r="TU2" s="3" t="inlineStr">
        <is>
          <t>CTAS US Equity</t>
        </is>
      </c>
      <c r="UY2" s="3" t="inlineStr">
        <is>
          <t>PENN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BDS("AKAM US Equity","SUPPLY_CHAIN_SUPPLIERS_FULL_DATA")</f>
        <v/>
      </c>
      <c r="O5">
        <f>BDS("AKAM US Equity","SUPPLY_CHAIN_CUSTOMERS_FULL_DATA")</f>
        <v/>
      </c>
      <c r="AE5">
        <f>BDS("VZ US Equity","SUPPLY_CHAIN_SUPPLIERS_FULL_DATA")</f>
        <v/>
      </c>
      <c r="AS5">
        <f>BDS("VZ US Equity","SUPPLY_CHAIN_CUSTOMERS_FULL_DATA")</f>
        <v/>
      </c>
      <c r="BI5">
        <f>BDS("GEN US Equity","SUPPLY_CHAIN_SUPPLIERS_FULL_DATA")</f>
        <v/>
      </c>
      <c r="BW5">
        <f>BDS("GEN US Equity","SUPPLY_CHAIN_CUSTOMERS_FULL_DATA")</f>
        <v/>
      </c>
      <c r="CM5">
        <f>BDS("FANG US Equity","SUPPLY_CHAIN_SUPPLIERS_FULL_DATA")</f>
        <v/>
      </c>
      <c r="DA5">
        <f>BDS("FANG US Equity","SUPPLY_CHAIN_CUSTOMERS_FULL_DATA")</f>
        <v/>
      </c>
      <c r="DQ5">
        <f>BDS("XOXOQ US Equity","SUPPLY_CHAIN_SUPPLIERS_FULL_DATA")</f>
        <v/>
      </c>
      <c r="EE5">
        <f>BDS("XOXOQ US Equity","SUPPLY_CHAIN_CUSTOMERS_FULL_DATA")</f>
        <v/>
      </c>
      <c r="EU5">
        <f>BDS("EXXIQ US Equity","SUPPLY_CHAIN_SUPPLIERS_FULL_DATA")</f>
        <v/>
      </c>
      <c r="FI5">
        <f>BDS("EXXIQ US Equity","SUPPLY_CHAIN_CUSTOMERS_FULL_DATA")</f>
        <v/>
      </c>
      <c r="FY5">
        <f>BDS("IEP US Equity","SUPPLY_CHAIN_SUPPLIERS_FULL_DATA")</f>
        <v/>
      </c>
      <c r="GM5">
        <f>BDS("IEP US Equity","SUPPLY_CHAIN_CUSTOMERS_FULL_DATA")</f>
        <v/>
      </c>
      <c r="HC5">
        <f>BDS("GR US Equity","SUPPLY_CHAIN_SUPPLIERS_FULL_DATA")</f>
        <v/>
      </c>
      <c r="HQ5">
        <f>BDS("GR US Equity","SUPPLY_CHAIN_CUSTOMERS_FULL_DATA")</f>
        <v/>
      </c>
      <c r="IG5">
        <f>BDS("ALK US Equity","SUPPLY_CHAIN_SUPPLIERS_FULL_DATA")</f>
        <v/>
      </c>
      <c r="IU5">
        <f>BDS("ALK US Equity","SUPPLY_CHAIN_CUSTOMERS_FULL_DATA")</f>
        <v/>
      </c>
      <c r="JK5">
        <f>BDS("STL US Equity","SUPPLY_CHAIN_SUPPLIERS_FULL_DATA")</f>
        <v/>
      </c>
      <c r="JY5">
        <f>BDS("STL US Equity","SUPPLY_CHAIN_CUSTOMERS_FULL_DATA")</f>
        <v/>
      </c>
      <c r="KO5">
        <f>BDS("HES US Equity","SUPPLY_CHAIN_SUPPLIERS_FULL_DATA")</f>
        <v/>
      </c>
      <c r="LC5">
        <f>BDS("HES US Equity","SUPPLY_CHAIN_CUSTOMERS_FULL_DATA")</f>
        <v/>
      </c>
      <c r="LS5">
        <f>BDS("GILD US Equity","SUPPLY_CHAIN_SUPPLIERS_FULL_DATA")</f>
        <v/>
      </c>
      <c r="MG5">
        <f>BDS("GILD US Equity","SUPPLY_CHAIN_CUSTOMERS_FULL_DATA")</f>
        <v/>
      </c>
      <c r="MW5">
        <f>BDS("TMHC US Equity","SUPPLY_CHAIN_SUPPLIERS_FULL_DATA")</f>
        <v/>
      </c>
      <c r="NK5">
        <f>BDS("TMHC US Equity","SUPPLY_CHAIN_CUSTOMERS_FULL_DATA")</f>
        <v/>
      </c>
      <c r="OA5">
        <f>BDS("VZ US Equity","SUPPLY_CHAIN_SUPPLIERS_FULL_DATA")</f>
        <v/>
      </c>
      <c r="OO5">
        <f>BDS("VZ US Equity","SUPPLY_CHAIN_CUSTOMERS_FULL_DATA")</f>
        <v/>
      </c>
      <c r="PE5">
        <f>BDS("HON US Equity","SUPPLY_CHAIN_SUPPLIERS_FULL_DATA")</f>
        <v/>
      </c>
      <c r="PS5">
        <f>BDS("HON US Equity","SUPPLY_CHAIN_CUSTOMERS_FULL_DATA")</f>
        <v/>
      </c>
      <c r="QI5">
        <f>BDS("ZAYO US Equity","SUPPLY_CHAIN_SUPPLIERS_FULL_DATA")</f>
        <v/>
      </c>
      <c r="QW5">
        <f>BDS("ZAYO US Equity","SUPPLY_CHAIN_CUSTOMERS_FULL_DATA")</f>
        <v/>
      </c>
      <c r="RM5">
        <f>BDS("9990531D US Equity","SUPPLY_CHAIN_SUPPLIERS_FULL_DATA")</f>
        <v/>
      </c>
      <c r="SA5">
        <f>BDS("9990531D US Equity","SUPPLY_CHAIN_CUSTOMERS_FULL_DATA")</f>
        <v/>
      </c>
      <c r="SQ5">
        <f>BDS("RC US Equity","SUPPLY_CHAIN_SUPPLIERS_FULL_DATA")</f>
        <v/>
      </c>
      <c r="TE5">
        <f>BDS("RC US Equity","SUPPLY_CHAIN_CUSTOMERS_FULL_DATA")</f>
        <v/>
      </c>
      <c r="TU5">
        <f>BDS("CTAS US Equity","SUPPLY_CHAIN_SUPPLIERS_FULL_DATA")</f>
        <v/>
      </c>
      <c r="UI5">
        <f>BDS("CTAS US Equity","SUPPLY_CHAIN_CUSTOMERS_FULL_DATA")</f>
        <v/>
      </c>
      <c r="UY5">
        <f>BDS("PENN US Equity","SUPPLY_CHAIN_SUPPLIERS_FULL_DATA")</f>
        <v/>
      </c>
      <c r="VM5">
        <f>BDS("PENN US Equity","SUPPLY_CHAIN_CUSTOMERS_FULL_DATA")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901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902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903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904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905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906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907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908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909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910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911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912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913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914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915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916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917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918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919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920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CAH US Equity</t>
        </is>
      </c>
      <c r="AE2" s="3" t="inlineStr">
        <is>
          <t>FITB US Equity</t>
        </is>
      </c>
      <c r="BI2" s="3" t="inlineStr">
        <is>
          <t>GE US Equity</t>
        </is>
      </c>
      <c r="CM2" s="3" t="inlineStr">
        <is>
          <t>nan Equity</t>
        </is>
      </c>
      <c r="DQ2" s="3" t="inlineStr">
        <is>
          <t>NXL US Equity</t>
        </is>
      </c>
      <c r="EU2" s="3" t="inlineStr">
        <is>
          <t>BMY US Equity</t>
        </is>
      </c>
      <c r="FY2" s="3" t="inlineStr">
        <is>
          <t>HPQ US Equity</t>
        </is>
      </c>
      <c r="HC2" s="3" t="inlineStr">
        <is>
          <t>9876456D US Equity</t>
        </is>
      </c>
      <c r="IG2" s="3" t="inlineStr">
        <is>
          <t>AVB US Equity</t>
        </is>
      </c>
      <c r="JK2" s="3" t="inlineStr">
        <is>
          <t>HIG US Equity</t>
        </is>
      </c>
      <c r="KO2" s="3" t="inlineStr">
        <is>
          <t>LYB US Equity</t>
        </is>
      </c>
      <c r="LS2" s="3" t="inlineStr">
        <is>
          <t>PRGNQ US Equity</t>
        </is>
      </c>
      <c r="MW2" s="3" t="inlineStr">
        <is>
          <t>USB US Equity</t>
        </is>
      </c>
      <c r="OA2" s="3" t="inlineStr">
        <is>
          <t>TMO US Equity</t>
        </is>
      </c>
      <c r="PE2" s="3" t="inlineStr">
        <is>
          <t>DIN US Equity</t>
        </is>
      </c>
      <c r="QI2" s="3" t="inlineStr">
        <is>
          <t>QVCGA US Equity</t>
        </is>
      </c>
      <c r="RM2" s="3" t="inlineStr">
        <is>
          <t>BMY US Equity</t>
        </is>
      </c>
      <c r="SQ2" s="3" t="inlineStr">
        <is>
          <t>2758954Q US Equity</t>
        </is>
      </c>
      <c r="TU2" s="3" t="inlineStr">
        <is>
          <t>CAH US Equity</t>
        </is>
      </c>
      <c r="UY2" s="3" t="inlineStr">
        <is>
          <t>TYL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BDS("CAH US Equity","SUPPLY_CHAIN_SUPPLIERS_FULL_DATA")</f>
        <v/>
      </c>
      <c r="O5">
        <f>BDS("CAH US Equity","SUPPLY_CHAIN_CUSTOMERS_FULL_DATA")</f>
        <v/>
      </c>
      <c r="AE5">
        <f>BDS("FITB US Equity","SUPPLY_CHAIN_SUPPLIERS_FULL_DATA")</f>
        <v/>
      </c>
      <c r="AS5">
        <f>BDS("FITB US Equity","SUPPLY_CHAIN_CUSTOMERS_FULL_DATA")</f>
        <v/>
      </c>
      <c r="BI5">
        <f>BDS("GE US Equity","SUPPLY_CHAIN_SUPPLIERS_FULL_DATA")</f>
        <v/>
      </c>
      <c r="BW5">
        <f>BDS("GE US Equity","SUPPLY_CHAIN_CUSTOMERS_FULL_DATA")</f>
        <v/>
      </c>
      <c r="CM5">
        <f>BDS("nan Equity","SUPPLY_CHAIN_SUPPLIERS_FULL_DATA")</f>
        <v/>
      </c>
      <c r="DA5">
        <f>BDS("nan Equity","SUPPLY_CHAIN_CUSTOMERS_FULL_DATA")</f>
        <v/>
      </c>
      <c r="DQ5">
        <f>BDS("NXL US Equity","SUPPLY_CHAIN_SUPPLIERS_FULL_DATA")</f>
        <v/>
      </c>
      <c r="EE5">
        <f>BDS("NXL US Equity","SUPPLY_CHAIN_CUSTOMERS_FULL_DATA")</f>
        <v/>
      </c>
      <c r="EU5">
        <f>BDS("BMY US Equity","SUPPLY_CHAIN_SUPPLIERS_FULL_DATA")</f>
        <v/>
      </c>
      <c r="FI5">
        <f>BDS("BMY US Equity","SUPPLY_CHAIN_CUSTOMERS_FULL_DATA")</f>
        <v/>
      </c>
      <c r="FY5">
        <f>BDS("HPQ US Equity","SUPPLY_CHAIN_SUPPLIERS_FULL_DATA")</f>
        <v/>
      </c>
      <c r="GM5">
        <f>BDS("HPQ US Equity","SUPPLY_CHAIN_CUSTOMERS_FULL_DATA")</f>
        <v/>
      </c>
      <c r="HC5">
        <f>BDS("9876456D US Equity","SUPPLY_CHAIN_SUPPLIERS_FULL_DATA")</f>
        <v/>
      </c>
      <c r="HQ5">
        <f>BDS("9876456D US Equity","SUPPLY_CHAIN_CUSTOMERS_FULL_DATA")</f>
        <v/>
      </c>
      <c r="IG5">
        <f>BDS("AVB US Equity","SUPPLY_CHAIN_SUPPLIERS_FULL_DATA")</f>
        <v/>
      </c>
      <c r="IU5">
        <f>BDS("AVB US Equity","SUPPLY_CHAIN_CUSTOMERS_FULL_DATA")</f>
        <v/>
      </c>
      <c r="JK5">
        <f>BDS("HIG US Equity","SUPPLY_CHAIN_SUPPLIERS_FULL_DATA")</f>
        <v/>
      </c>
      <c r="JY5">
        <f>BDS("HIG US Equity","SUPPLY_CHAIN_CUSTOMERS_FULL_DATA")</f>
        <v/>
      </c>
      <c r="KO5">
        <f>BDS("LYB US Equity","SUPPLY_CHAIN_SUPPLIERS_FULL_DATA")</f>
        <v/>
      </c>
      <c r="LC5">
        <f>BDS("LYB US Equity","SUPPLY_CHAIN_CUSTOMERS_FULL_DATA")</f>
        <v/>
      </c>
      <c r="LS5">
        <f>BDS("PRGNQ US Equity","SUPPLY_CHAIN_SUPPLIERS_FULL_DATA")</f>
        <v/>
      </c>
      <c r="MG5">
        <f>BDS("PRGNQ US Equity","SUPPLY_CHAIN_CUSTOMERS_FULL_DATA")</f>
        <v/>
      </c>
      <c r="MW5">
        <f>BDS("USB US Equity","SUPPLY_CHAIN_SUPPLIERS_FULL_DATA")</f>
        <v/>
      </c>
      <c r="NK5">
        <f>BDS("USB US Equity","SUPPLY_CHAIN_CUSTOMERS_FULL_DATA")</f>
        <v/>
      </c>
      <c r="OA5">
        <f>BDS("TMO US Equity","SUPPLY_CHAIN_SUPPLIERS_FULL_DATA")</f>
        <v/>
      </c>
      <c r="OO5">
        <f>BDS("TMO US Equity","SUPPLY_CHAIN_CUSTOMERS_FULL_DATA")</f>
        <v/>
      </c>
      <c r="PE5">
        <f>BDS("DIN US Equity","SUPPLY_CHAIN_SUPPLIERS_FULL_DATA")</f>
        <v/>
      </c>
      <c r="PS5">
        <f>BDS("DIN US Equity","SUPPLY_CHAIN_CUSTOMERS_FULL_DATA")</f>
        <v/>
      </c>
      <c r="QI5">
        <f>BDS("QVCGA US Equity","SUPPLY_CHAIN_SUPPLIERS_FULL_DATA")</f>
        <v/>
      </c>
      <c r="QW5">
        <f>BDS("QVCGA US Equity","SUPPLY_CHAIN_CUSTOMERS_FULL_DATA")</f>
        <v/>
      </c>
      <c r="RM5">
        <f>BDS("BMY US Equity","SUPPLY_CHAIN_SUPPLIERS_FULL_DATA")</f>
        <v/>
      </c>
      <c r="SA5">
        <f>BDS("BMY US Equity","SUPPLY_CHAIN_CUSTOMERS_FULL_DATA")</f>
        <v/>
      </c>
      <c r="SQ5">
        <f>BDS("2758954Q US Equity","SUPPLY_CHAIN_SUPPLIERS_FULL_DATA")</f>
        <v/>
      </c>
      <c r="TE5">
        <f>BDS("2758954Q US Equity","SUPPLY_CHAIN_CUSTOMERS_FULL_DATA")</f>
        <v/>
      </c>
      <c r="TU5">
        <f>BDS("CAH US Equity","SUPPLY_CHAIN_SUPPLIERS_FULL_DATA")</f>
        <v/>
      </c>
      <c r="UI5">
        <f>BDS("CAH US Equity","SUPPLY_CHAIN_CUSTOMERS_FULL_DATA")</f>
        <v/>
      </c>
      <c r="UY5">
        <f>BDS("TYL US Equity","SUPPLY_CHAIN_SUPPLIERS_FULL_DATA")</f>
        <v/>
      </c>
      <c r="VM5">
        <f>BDS("TYL US Equity","SUPPLY_CHAIN_CUSTOMERS_FULL_DATA")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921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922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923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924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925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926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927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928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929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930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931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932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933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934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935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936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937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938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939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940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2258717D US Equity</t>
        </is>
      </c>
      <c r="AE2" s="3" t="inlineStr">
        <is>
          <t>PNFP US Equity</t>
        </is>
      </c>
      <c r="BI2" s="3" t="inlineStr">
        <is>
          <t>FCNCA US Equity</t>
        </is>
      </c>
      <c r="CM2" s="3" t="inlineStr">
        <is>
          <t>XEC US Equity</t>
        </is>
      </c>
      <c r="DQ2" s="3" t="inlineStr">
        <is>
          <t>ARWLQ US Equity</t>
        </is>
      </c>
      <c r="EU2" s="3" t="inlineStr">
        <is>
          <t>TGNA US Equity</t>
        </is>
      </c>
      <c r="FY2" s="3" t="inlineStr">
        <is>
          <t>PB US Equity</t>
        </is>
      </c>
      <c r="HC2" s="3" t="inlineStr">
        <is>
          <t>2083Q US Equity</t>
        </is>
      </c>
      <c r="IG2" s="3" t="inlineStr">
        <is>
          <t>STCN US Equity</t>
        </is>
      </c>
      <c r="JK2" s="3" t="inlineStr">
        <is>
          <t>FIBK US Equity</t>
        </is>
      </c>
      <c r="KO2" s="3" t="inlineStr">
        <is>
          <t>SLXP US Equity</t>
        </is>
      </c>
      <c r="LS2" s="3" t="inlineStr">
        <is>
          <t>CAH US Equity</t>
        </is>
      </c>
      <c r="MW2" s="3" t="inlineStr">
        <is>
          <t>BKB US Equity</t>
        </is>
      </c>
      <c r="OA2" s="3" t="inlineStr">
        <is>
          <t>ASNAQ US Equity</t>
        </is>
      </c>
      <c r="PE2" s="3" t="inlineStr">
        <is>
          <t>EQR US Equity</t>
        </is>
      </c>
      <c r="QI2" s="3" t="inlineStr">
        <is>
          <t>1816375D US Equity</t>
        </is>
      </c>
      <c r="RM2" s="3" t="inlineStr">
        <is>
          <t>BA US Equity</t>
        </is>
      </c>
      <c r="SQ2" s="3" t="inlineStr">
        <is>
          <t>HI US Equity</t>
        </is>
      </c>
      <c r="TU2" s="3" t="inlineStr">
        <is>
          <t>APO US Equity</t>
        </is>
      </c>
      <c r="UY2" s="3" t="inlineStr">
        <is>
          <t>TFX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BDS("2258717D US Equity","SUPPLY_CHAIN_SUPPLIERS_FULL_DATA")</f>
        <v/>
      </c>
      <c r="O5">
        <f>BDS("2258717D US Equity","SUPPLY_CHAIN_CUSTOMERS_FULL_DATA")</f>
        <v/>
      </c>
      <c r="AE5">
        <f>BDS("PNFP US Equity","SUPPLY_CHAIN_SUPPLIERS_FULL_DATA")</f>
        <v/>
      </c>
      <c r="AS5">
        <f>BDS("PNFP US Equity","SUPPLY_CHAIN_CUSTOMERS_FULL_DATA")</f>
        <v/>
      </c>
      <c r="BI5">
        <f>BDS("FCNCA US Equity","SUPPLY_CHAIN_SUPPLIERS_FULL_DATA")</f>
        <v/>
      </c>
      <c r="BW5">
        <f>BDS("FCNCA US Equity","SUPPLY_CHAIN_CUSTOMERS_FULL_DATA")</f>
        <v/>
      </c>
      <c r="CM5">
        <f>BDS("XEC US Equity","SUPPLY_CHAIN_SUPPLIERS_FULL_DATA")</f>
        <v/>
      </c>
      <c r="DA5">
        <f>BDS("XEC US Equity","SUPPLY_CHAIN_CUSTOMERS_FULL_DATA")</f>
        <v/>
      </c>
      <c r="DQ5">
        <f>BDS("ARWLQ US Equity","SUPPLY_CHAIN_SUPPLIERS_FULL_DATA")</f>
        <v/>
      </c>
      <c r="EE5">
        <f>BDS("ARWLQ US Equity","SUPPLY_CHAIN_CUSTOMERS_FULL_DATA")</f>
        <v/>
      </c>
      <c r="EU5">
        <f>BDS("TGNA US Equity","SUPPLY_CHAIN_SUPPLIERS_FULL_DATA")</f>
        <v/>
      </c>
      <c r="FI5">
        <f>BDS("TGNA US Equity","SUPPLY_CHAIN_CUSTOMERS_FULL_DATA")</f>
        <v/>
      </c>
      <c r="FY5">
        <f>BDS("PB US Equity","SUPPLY_CHAIN_SUPPLIERS_FULL_DATA")</f>
        <v/>
      </c>
      <c r="GM5">
        <f>BDS("PB US Equity","SUPPLY_CHAIN_CUSTOMERS_FULL_DATA")</f>
        <v/>
      </c>
      <c r="HC5">
        <f>BDS("2083Q US Equity","SUPPLY_CHAIN_SUPPLIERS_FULL_DATA")</f>
        <v/>
      </c>
      <c r="HQ5">
        <f>BDS("2083Q US Equity","SUPPLY_CHAIN_CUSTOMERS_FULL_DATA")</f>
        <v/>
      </c>
      <c r="IG5">
        <f>BDS("STCN US Equity","SUPPLY_CHAIN_SUPPLIERS_FULL_DATA")</f>
        <v/>
      </c>
      <c r="IU5">
        <f>BDS("STCN US Equity","SUPPLY_CHAIN_CUSTOMERS_FULL_DATA")</f>
        <v/>
      </c>
      <c r="JK5">
        <f>BDS("FIBK US Equity","SUPPLY_CHAIN_SUPPLIERS_FULL_DATA")</f>
        <v/>
      </c>
      <c r="JY5">
        <f>BDS("FIBK US Equity","SUPPLY_CHAIN_CUSTOMERS_FULL_DATA")</f>
        <v/>
      </c>
      <c r="KO5">
        <f>BDS("SLXP US Equity","SUPPLY_CHAIN_SUPPLIERS_FULL_DATA")</f>
        <v/>
      </c>
      <c r="LC5">
        <f>BDS("SLXP US Equity","SUPPLY_CHAIN_CUSTOMERS_FULL_DATA")</f>
        <v/>
      </c>
      <c r="LS5">
        <f>BDS("CAH US Equity","SUPPLY_CHAIN_SUPPLIERS_FULL_DATA")</f>
        <v/>
      </c>
      <c r="MG5">
        <f>BDS("CAH US Equity","SUPPLY_CHAIN_CUSTOMERS_FULL_DATA")</f>
        <v/>
      </c>
      <c r="MW5">
        <f>BDS("BKB US Equity","SUPPLY_CHAIN_SUPPLIERS_FULL_DATA")</f>
        <v/>
      </c>
      <c r="NK5">
        <f>BDS("BKB US Equity","SUPPLY_CHAIN_CUSTOMERS_FULL_DATA")</f>
        <v/>
      </c>
      <c r="OA5">
        <f>BDS("ASNAQ US Equity","SUPPLY_CHAIN_SUPPLIERS_FULL_DATA")</f>
        <v/>
      </c>
      <c r="OO5">
        <f>BDS("ASNAQ US Equity","SUPPLY_CHAIN_CUSTOMERS_FULL_DATA")</f>
        <v/>
      </c>
      <c r="PE5">
        <f>BDS("EQR US Equity","SUPPLY_CHAIN_SUPPLIERS_FULL_DATA")</f>
        <v/>
      </c>
      <c r="PS5">
        <f>BDS("EQR US Equity","SUPPLY_CHAIN_CUSTOMERS_FULL_DATA")</f>
        <v/>
      </c>
      <c r="QI5">
        <f>BDS("1816375D US Equity","SUPPLY_CHAIN_SUPPLIERS_FULL_DATA")</f>
        <v/>
      </c>
      <c r="QW5">
        <f>BDS("1816375D US Equity","SUPPLY_CHAIN_CUSTOMERS_FULL_DATA")</f>
        <v/>
      </c>
      <c r="RM5">
        <f>BDS("BA US Equity","SUPPLY_CHAIN_SUPPLIERS_FULL_DATA")</f>
        <v/>
      </c>
      <c r="SA5">
        <f>BDS("BA US Equity","SUPPLY_CHAIN_CUSTOMERS_FULL_DATA")</f>
        <v/>
      </c>
      <c r="SQ5">
        <f>BDS("HI US Equity","SUPPLY_CHAIN_SUPPLIERS_FULL_DATA")</f>
        <v/>
      </c>
      <c r="TE5">
        <f>BDS("HI US Equity","SUPPLY_CHAIN_CUSTOMERS_FULL_DATA")</f>
        <v/>
      </c>
      <c r="TU5">
        <f>BDS("APO US Equity","SUPPLY_CHAIN_SUPPLIERS_FULL_DATA")</f>
        <v/>
      </c>
      <c r="UI5">
        <f>BDS("APO US Equity","SUPPLY_CHAIN_CUSTOMERS_FULL_DATA")</f>
        <v/>
      </c>
      <c r="UY5">
        <f>BDS("TFX US Equity","SUPPLY_CHAIN_SUPPLIERS_FULL_DATA")</f>
        <v/>
      </c>
      <c r="VM5">
        <f>BDS("TFX US Equity","SUPPLY_CHAIN_CUSTOMERS_FULL_DATA")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941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942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943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944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945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946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947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948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949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950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951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952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953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954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955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956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957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958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959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960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PKG US Equity</t>
        </is>
      </c>
      <c r="AE2" s="3" t="inlineStr">
        <is>
          <t>JLL US Equity</t>
        </is>
      </c>
      <c r="BI2" s="3" t="inlineStr">
        <is>
          <t>BPO CN Equity</t>
        </is>
      </c>
      <c r="CM2" s="3" t="inlineStr">
        <is>
          <t>DHR US Equity</t>
        </is>
      </c>
      <c r="DQ2" s="3" t="inlineStr">
        <is>
          <t>1822785D US Equity</t>
        </is>
      </c>
      <c r="EU2" s="3" t="inlineStr">
        <is>
          <t>MCLDQ US Equity</t>
        </is>
      </c>
      <c r="FY2" s="3" t="inlineStr">
        <is>
          <t>2258717D US Equity</t>
        </is>
      </c>
      <c r="HC2" s="3" t="inlineStr">
        <is>
          <t>VFC US Equity</t>
        </is>
      </c>
      <c r="IG2" s="3" t="inlineStr">
        <is>
          <t>NCC US Equity</t>
        </is>
      </c>
      <c r="JK2" s="3" t="inlineStr">
        <is>
          <t>VMC US Equity</t>
        </is>
      </c>
      <c r="KO2" s="3" t="inlineStr">
        <is>
          <t>PXD US Equity</t>
        </is>
      </c>
      <c r="LS2" s="3" t="inlineStr">
        <is>
          <t>CLX US Equity</t>
        </is>
      </c>
      <c r="MW2" s="3" t="inlineStr">
        <is>
          <t>ADI US Equity</t>
        </is>
      </c>
      <c r="OA2" s="3" t="inlineStr">
        <is>
          <t>EA US Equity</t>
        </is>
      </c>
      <c r="PE2" s="3" t="inlineStr">
        <is>
          <t>GWR US Equity</t>
        </is>
      </c>
      <c r="QI2" s="3" t="inlineStr">
        <is>
          <t>ETFC US Equity</t>
        </is>
      </c>
      <c r="RM2" s="3" t="inlineStr">
        <is>
          <t>VIAV US Equity</t>
        </is>
      </c>
      <c r="SQ2" s="3" t="inlineStr">
        <is>
          <t>MRSH US Equity</t>
        </is>
      </c>
      <c r="TU2" s="3" t="inlineStr">
        <is>
          <t>DRS US Equity</t>
        </is>
      </c>
      <c r="UY2" s="3" t="inlineStr">
        <is>
          <t>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BDS("PKG US Equity","SUPPLY_CHAIN_SUPPLIERS_FULL_DATA")</f>
        <v/>
      </c>
      <c r="O5">
        <f>BDS("PKG US Equity","SUPPLY_CHAIN_CUSTOMERS_FULL_DATA")</f>
        <v/>
      </c>
      <c r="AE5">
        <f>BDS("JLL US Equity","SUPPLY_CHAIN_SUPPLIERS_FULL_DATA")</f>
        <v/>
      </c>
      <c r="AS5">
        <f>BDS("JLL US Equity","SUPPLY_CHAIN_CUSTOMERS_FULL_DATA")</f>
        <v/>
      </c>
      <c r="BI5">
        <f>BDS("BPO CN Equity","SUPPLY_CHAIN_SUPPLIERS_FULL_DATA")</f>
        <v/>
      </c>
      <c r="BW5">
        <f>BDS("BPO CN Equity","SUPPLY_CHAIN_CUSTOMERS_FULL_DATA")</f>
        <v/>
      </c>
      <c r="CM5">
        <f>BDS("DHR US Equity","SUPPLY_CHAIN_SUPPLIERS_FULL_DATA")</f>
        <v/>
      </c>
      <c r="DA5">
        <f>BDS("DHR US Equity","SUPPLY_CHAIN_CUSTOMERS_FULL_DATA")</f>
        <v/>
      </c>
      <c r="DQ5">
        <f>BDS("1822785D US Equity","SUPPLY_CHAIN_SUPPLIERS_FULL_DATA")</f>
        <v/>
      </c>
      <c r="EE5">
        <f>BDS("1822785D US Equity","SUPPLY_CHAIN_CUSTOMERS_FULL_DATA")</f>
        <v/>
      </c>
      <c r="EU5">
        <f>BDS("MCLDQ US Equity","SUPPLY_CHAIN_SUPPLIERS_FULL_DATA")</f>
        <v/>
      </c>
      <c r="FI5">
        <f>BDS("MCLDQ US Equity","SUPPLY_CHAIN_CUSTOMERS_FULL_DATA")</f>
        <v/>
      </c>
      <c r="FY5">
        <f>BDS("2258717D US Equity","SUPPLY_CHAIN_SUPPLIERS_FULL_DATA")</f>
        <v/>
      </c>
      <c r="GM5">
        <f>BDS("2258717D US Equity","SUPPLY_CHAIN_CUSTOMERS_FULL_DATA")</f>
        <v/>
      </c>
      <c r="HC5">
        <f>BDS("VFC US Equity","SUPPLY_CHAIN_SUPPLIERS_FULL_DATA")</f>
        <v/>
      </c>
      <c r="HQ5">
        <f>BDS("VFC US Equity","SUPPLY_CHAIN_CUSTOMERS_FULL_DATA")</f>
        <v/>
      </c>
      <c r="IG5">
        <f>BDS("NCC US Equity","SUPPLY_CHAIN_SUPPLIERS_FULL_DATA")</f>
        <v/>
      </c>
      <c r="IU5">
        <f>BDS("NCC US Equity","SUPPLY_CHAIN_CUSTOMERS_FULL_DATA")</f>
        <v/>
      </c>
      <c r="JK5">
        <f>BDS("VMC US Equity","SUPPLY_CHAIN_SUPPLIERS_FULL_DATA")</f>
        <v/>
      </c>
      <c r="JY5">
        <f>BDS("VMC US Equity","SUPPLY_CHAIN_CUSTOMERS_FULL_DATA")</f>
        <v/>
      </c>
      <c r="KO5">
        <f>BDS("PXD US Equity","SUPPLY_CHAIN_SUPPLIERS_FULL_DATA")</f>
        <v/>
      </c>
      <c r="LC5">
        <f>BDS("PXD US Equity","SUPPLY_CHAIN_CUSTOMERS_FULL_DATA")</f>
        <v/>
      </c>
      <c r="LS5">
        <f>BDS("CLX US Equity","SUPPLY_CHAIN_SUPPLIERS_FULL_DATA")</f>
        <v/>
      </c>
      <c r="MG5">
        <f>BDS("CLX US Equity","SUPPLY_CHAIN_CUSTOMERS_FULL_DATA")</f>
        <v/>
      </c>
      <c r="MW5">
        <f>BDS("ADI US Equity","SUPPLY_CHAIN_SUPPLIERS_FULL_DATA")</f>
        <v/>
      </c>
      <c r="NK5">
        <f>BDS("ADI US Equity","SUPPLY_CHAIN_CUSTOMERS_FULL_DATA")</f>
        <v/>
      </c>
      <c r="OA5">
        <f>BDS("EA US Equity","SUPPLY_CHAIN_SUPPLIERS_FULL_DATA")</f>
        <v/>
      </c>
      <c r="OO5">
        <f>BDS("EA US Equity","SUPPLY_CHAIN_CUSTOMERS_FULL_DATA")</f>
        <v/>
      </c>
      <c r="PE5">
        <f>BDS("GWR US Equity","SUPPLY_CHAIN_SUPPLIERS_FULL_DATA")</f>
        <v/>
      </c>
      <c r="PS5">
        <f>BDS("GWR US Equity","SUPPLY_CHAIN_CUSTOMERS_FULL_DATA")</f>
        <v/>
      </c>
      <c r="QI5">
        <f>BDS("ETFC US Equity","SUPPLY_CHAIN_SUPPLIERS_FULL_DATA")</f>
        <v/>
      </c>
      <c r="QW5">
        <f>BDS("ETFC US Equity","SUPPLY_CHAIN_CUSTOMERS_FULL_DATA")</f>
        <v/>
      </c>
      <c r="RM5">
        <f>BDS("VIAV US Equity","SUPPLY_CHAIN_SUPPLIERS_FULL_DATA")</f>
        <v/>
      </c>
      <c r="SA5">
        <f>BDS("VIAV US Equity","SUPPLY_CHAIN_CUSTOMERS_FULL_DATA")</f>
        <v/>
      </c>
      <c r="SQ5">
        <f>BDS("MRSH US Equity","SUPPLY_CHAIN_SUPPLIERS_FULL_DATA")</f>
        <v/>
      </c>
      <c r="TE5">
        <f>BDS("MRSH US Equity","SUPPLY_CHAIN_CUSTOMERS_FULL_DATA")</f>
        <v/>
      </c>
      <c r="TU5">
        <f>BDS("DRS US Equity","SUPPLY_CHAIN_SUPPLIERS_FULL_DATA")</f>
        <v/>
      </c>
      <c r="UI5">
        <f>BDS("DRS US Equity","SUPPLY_CHAIN_CUSTOMERS_FULL_DATA")</f>
        <v/>
      </c>
      <c r="UY5">
        <f>BDS("X US Equity","SUPPLY_CHAIN_SUPPLIERS_FULL_DATA")</f>
        <v/>
      </c>
      <c r="VM5">
        <f>BDS("X US Equity","SUPPLY_CHAIN_CUSTOMERS_FULL_DATA")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961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962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963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964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965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966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967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968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969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970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971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972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973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974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975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976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977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978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979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980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WLA US Equity</t>
        </is>
      </c>
      <c r="AE2" s="3" t="inlineStr">
        <is>
          <t>SOCNQ US Equity</t>
        </is>
      </c>
      <c r="BI2" s="3" t="inlineStr">
        <is>
          <t>CVH US Equity</t>
        </is>
      </c>
      <c r="CM2" s="3" t="inlineStr">
        <is>
          <t>1041267D US Equity</t>
        </is>
      </c>
      <c r="DQ2" s="3" t="inlineStr">
        <is>
          <t>URI US Equity</t>
        </is>
      </c>
      <c r="EU2" s="3" t="inlineStr">
        <is>
          <t>NVP US Equity</t>
        </is>
      </c>
      <c r="FY2" s="3" t="inlineStr">
        <is>
          <t>2598Q US Equity</t>
        </is>
      </c>
      <c r="HC2" s="3" t="inlineStr">
        <is>
          <t>EBAY US Equity</t>
        </is>
      </c>
      <c r="IG2" s="3" t="inlineStr">
        <is>
          <t>LNCE US Equity</t>
        </is>
      </c>
      <c r="JK2" s="3" t="inlineStr">
        <is>
          <t>CZR US Equity</t>
        </is>
      </c>
      <c r="KO2" s="3" t="inlineStr">
        <is>
          <t>SOGCQ US Equity</t>
        </is>
      </c>
      <c r="LS2" s="3" t="inlineStr">
        <is>
          <t>0167866D US Equity</t>
        </is>
      </c>
      <c r="MW2" s="3" t="inlineStr">
        <is>
          <t>DALRQ US Equity</t>
        </is>
      </c>
      <c r="OA2" s="3" t="inlineStr">
        <is>
          <t>CEQP US Equity</t>
        </is>
      </c>
      <c r="PE2" s="3" t="inlineStr">
        <is>
          <t>1255459D US Equity</t>
        </is>
      </c>
      <c r="QI2" s="3" t="inlineStr">
        <is>
          <t>VER US Equity</t>
        </is>
      </c>
      <c r="RM2" s="3" t="inlineStr">
        <is>
          <t>SRE US Equity</t>
        </is>
      </c>
      <c r="SQ2" s="3" t="inlineStr">
        <is>
          <t>UMPQ US Equity</t>
        </is>
      </c>
      <c r="TU2" s="3" t="inlineStr">
        <is>
          <t>3692470Q US Equity</t>
        </is>
      </c>
      <c r="UY2" s="3" t="inlineStr">
        <is>
          <t>UNVR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BDS("WLA US Equity","SUPPLY_CHAIN_SUPPLIERS_FULL_DATA")</f>
        <v/>
      </c>
      <c r="O5">
        <f>BDS("WLA US Equity","SUPPLY_CHAIN_CUSTOMERS_FULL_DATA")</f>
        <v/>
      </c>
      <c r="AE5">
        <f>BDS("SOCNQ US Equity","SUPPLY_CHAIN_SUPPLIERS_FULL_DATA")</f>
        <v/>
      </c>
      <c r="AS5">
        <f>BDS("SOCNQ US Equity","SUPPLY_CHAIN_CUSTOMERS_FULL_DATA")</f>
        <v/>
      </c>
      <c r="BI5">
        <f>BDS("CVH US Equity","SUPPLY_CHAIN_SUPPLIERS_FULL_DATA")</f>
        <v/>
      </c>
      <c r="BW5">
        <f>BDS("CVH US Equity","SUPPLY_CHAIN_CUSTOMERS_FULL_DATA")</f>
        <v/>
      </c>
      <c r="CM5">
        <f>BDS("1041267D US Equity","SUPPLY_CHAIN_SUPPLIERS_FULL_DATA")</f>
        <v/>
      </c>
      <c r="DA5">
        <f>BDS("1041267D US Equity","SUPPLY_CHAIN_CUSTOMERS_FULL_DATA")</f>
        <v/>
      </c>
      <c r="DQ5">
        <f>BDS("URI US Equity","SUPPLY_CHAIN_SUPPLIERS_FULL_DATA")</f>
        <v/>
      </c>
      <c r="EE5">
        <f>BDS("URI US Equity","SUPPLY_CHAIN_CUSTOMERS_FULL_DATA")</f>
        <v/>
      </c>
      <c r="EU5">
        <f>BDS("NVP US Equity","SUPPLY_CHAIN_SUPPLIERS_FULL_DATA")</f>
        <v/>
      </c>
      <c r="FI5">
        <f>BDS("NVP US Equity","SUPPLY_CHAIN_CUSTOMERS_FULL_DATA")</f>
        <v/>
      </c>
      <c r="FY5">
        <f>BDS("2598Q US Equity","SUPPLY_CHAIN_SUPPLIERS_FULL_DATA")</f>
        <v/>
      </c>
      <c r="GM5">
        <f>BDS("2598Q US Equity","SUPPLY_CHAIN_CUSTOMERS_FULL_DATA")</f>
        <v/>
      </c>
      <c r="HC5">
        <f>BDS("EBAY US Equity","SUPPLY_CHAIN_SUPPLIERS_FULL_DATA")</f>
        <v/>
      </c>
      <c r="HQ5">
        <f>BDS("EBAY US Equity","SUPPLY_CHAIN_CUSTOMERS_FULL_DATA")</f>
        <v/>
      </c>
      <c r="IG5">
        <f>BDS("LNCE US Equity","SUPPLY_CHAIN_SUPPLIERS_FULL_DATA")</f>
        <v/>
      </c>
      <c r="IU5">
        <f>BDS("LNCE US Equity","SUPPLY_CHAIN_CUSTOMERS_FULL_DATA")</f>
        <v/>
      </c>
      <c r="JK5">
        <f>BDS("CZR US Equity","SUPPLY_CHAIN_SUPPLIERS_FULL_DATA")</f>
        <v/>
      </c>
      <c r="JY5">
        <f>BDS("CZR US Equity","SUPPLY_CHAIN_CUSTOMERS_FULL_DATA")</f>
        <v/>
      </c>
      <c r="KO5">
        <f>BDS("SOGCQ US Equity","SUPPLY_CHAIN_SUPPLIERS_FULL_DATA")</f>
        <v/>
      </c>
      <c r="LC5">
        <f>BDS("SOGCQ US Equity","SUPPLY_CHAIN_CUSTOMERS_FULL_DATA")</f>
        <v/>
      </c>
      <c r="LS5">
        <f>BDS("0167866D US Equity","SUPPLY_CHAIN_SUPPLIERS_FULL_DATA")</f>
        <v/>
      </c>
      <c r="MG5">
        <f>BDS("0167866D US Equity","SUPPLY_CHAIN_CUSTOMERS_FULL_DATA")</f>
        <v/>
      </c>
      <c r="MW5">
        <f>BDS("DALRQ US Equity","SUPPLY_CHAIN_SUPPLIERS_FULL_DATA")</f>
        <v/>
      </c>
      <c r="NK5">
        <f>BDS("DALRQ US Equity","SUPPLY_CHAIN_CUSTOMERS_FULL_DATA")</f>
        <v/>
      </c>
      <c r="OA5">
        <f>BDS("CEQP US Equity","SUPPLY_CHAIN_SUPPLIERS_FULL_DATA")</f>
        <v/>
      </c>
      <c r="OO5">
        <f>BDS("CEQP US Equity","SUPPLY_CHAIN_CUSTOMERS_FULL_DATA")</f>
        <v/>
      </c>
      <c r="PE5">
        <f>BDS("1255459D US Equity","SUPPLY_CHAIN_SUPPLIERS_FULL_DATA")</f>
        <v/>
      </c>
      <c r="PS5">
        <f>BDS("1255459D US Equity","SUPPLY_CHAIN_CUSTOMERS_FULL_DATA")</f>
        <v/>
      </c>
      <c r="QI5">
        <f>BDS("VER US Equity","SUPPLY_CHAIN_SUPPLIERS_FULL_DATA")</f>
        <v/>
      </c>
      <c r="QW5">
        <f>BDS("VER US Equity","SUPPLY_CHAIN_CUSTOMERS_FULL_DATA")</f>
        <v/>
      </c>
      <c r="RM5">
        <f>BDS("SRE US Equity","SUPPLY_CHAIN_SUPPLIERS_FULL_DATA")</f>
        <v/>
      </c>
      <c r="SA5">
        <f>BDS("SRE US Equity","SUPPLY_CHAIN_CUSTOMERS_FULL_DATA")</f>
        <v/>
      </c>
      <c r="SQ5">
        <f>BDS("UMPQ US Equity","SUPPLY_CHAIN_SUPPLIERS_FULL_DATA")</f>
        <v/>
      </c>
      <c r="TE5">
        <f>BDS("UMPQ US Equity","SUPPLY_CHAIN_CUSTOMERS_FULL_DATA")</f>
        <v/>
      </c>
      <c r="TU5">
        <f>BDS("3692470Q US Equity","SUPPLY_CHAIN_SUPPLIERS_FULL_DATA")</f>
        <v/>
      </c>
      <c r="UI5">
        <f>BDS("3692470Q US Equity","SUPPLY_CHAIN_CUSTOMERS_FULL_DATA")</f>
        <v/>
      </c>
      <c r="UY5">
        <f>BDS("UNVR US Equity","SUPPLY_CHAIN_SUPPLIERS_FULL_DATA")</f>
        <v/>
      </c>
      <c r="VM5">
        <f>BDS("UNVR US Equity","SUPPLY_CHAIN_CUSTOMERS_FULL_DATA")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981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982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983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984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985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986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987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988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989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990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991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992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993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994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995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996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997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998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999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1000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ETRN US Equity</t>
        </is>
      </c>
      <c r="AE2" s="3" t="inlineStr">
        <is>
          <t>ADEA US Equity</t>
        </is>
      </c>
      <c r="BI2" s="3" t="inlineStr">
        <is>
          <t>1893675D US Equity</t>
        </is>
      </c>
      <c r="CM2" s="3" t="inlineStr">
        <is>
          <t>PBCT US Equity</t>
        </is>
      </c>
      <c r="DQ2" s="3" t="inlineStr">
        <is>
          <t>ORCL US Equity</t>
        </is>
      </c>
      <c r="EU2" s="3" t="inlineStr">
        <is>
          <t>9213421D CN Equity</t>
        </is>
      </c>
      <c r="FY2" s="3" t="inlineStr">
        <is>
          <t>TWLO US Equity</t>
        </is>
      </c>
      <c r="HC2" s="3" t="inlineStr">
        <is>
          <t>AGN US Equity</t>
        </is>
      </c>
      <c r="IG2" s="3" t="inlineStr">
        <is>
          <t>WCOEQ US Equity</t>
        </is>
      </c>
      <c r="JK2" s="3" t="inlineStr">
        <is>
          <t>9993232D US Equity</t>
        </is>
      </c>
      <c r="KO2" s="3" t="inlineStr">
        <is>
          <t>BX US Equity</t>
        </is>
      </c>
      <c r="LS2" s="3" t="inlineStr">
        <is>
          <t>CLDR US Equity</t>
        </is>
      </c>
      <c r="MW2" s="3" t="inlineStr">
        <is>
          <t>SATS US Equity</t>
        </is>
      </c>
      <c r="OA2" s="3" t="inlineStr">
        <is>
          <t>KND US Equity</t>
        </is>
      </c>
      <c r="PE2" s="3" t="inlineStr">
        <is>
          <t>TFC US Equity</t>
        </is>
      </c>
      <c r="QI2" s="3" t="inlineStr">
        <is>
          <t>WNR US Equity</t>
        </is>
      </c>
      <c r="RM2" s="3" t="inlineStr">
        <is>
          <t>BX US Equity</t>
        </is>
      </c>
      <c r="SQ2" s="3" t="inlineStr">
        <is>
          <t>CXW US Equity</t>
        </is>
      </c>
      <c r="TU2" s="3" t="inlineStr">
        <is>
          <t>MCK US Equity</t>
        </is>
      </c>
      <c r="UY2" s="3" t="inlineStr">
        <is>
          <t>CPT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BDS("ETRN US Equity","SUPPLY_CHAIN_SUPPLIERS_FULL_DATA")</f>
        <v/>
      </c>
      <c r="O5">
        <f>BDS("ETRN US Equity","SUPPLY_CHAIN_CUSTOMERS_FULL_DATA")</f>
        <v/>
      </c>
      <c r="AE5">
        <f>BDS("ADEA US Equity","SUPPLY_CHAIN_SUPPLIERS_FULL_DATA")</f>
        <v/>
      </c>
      <c r="AS5">
        <f>BDS("ADEA US Equity","SUPPLY_CHAIN_CUSTOMERS_FULL_DATA")</f>
        <v/>
      </c>
      <c r="BI5">
        <f>BDS("1893675D US Equity","SUPPLY_CHAIN_SUPPLIERS_FULL_DATA")</f>
        <v/>
      </c>
      <c r="BW5">
        <f>BDS("1893675D US Equity","SUPPLY_CHAIN_CUSTOMERS_FULL_DATA")</f>
        <v/>
      </c>
      <c r="CM5">
        <f>BDS("PBCT US Equity","SUPPLY_CHAIN_SUPPLIERS_FULL_DATA")</f>
        <v/>
      </c>
      <c r="DA5">
        <f>BDS("PBCT US Equity","SUPPLY_CHAIN_CUSTOMERS_FULL_DATA")</f>
        <v/>
      </c>
      <c r="DQ5">
        <f>BDS("ORCL US Equity","SUPPLY_CHAIN_SUPPLIERS_FULL_DATA")</f>
        <v/>
      </c>
      <c r="EE5">
        <f>BDS("ORCL US Equity","SUPPLY_CHAIN_CUSTOMERS_FULL_DATA")</f>
        <v/>
      </c>
      <c r="EU5">
        <f>BDS("9213421D CN Equity","SUPPLY_CHAIN_SUPPLIERS_FULL_DATA")</f>
        <v/>
      </c>
      <c r="FI5">
        <f>BDS("9213421D CN Equity","SUPPLY_CHAIN_CUSTOMERS_FULL_DATA")</f>
        <v/>
      </c>
      <c r="FY5">
        <f>BDS("TWLO US Equity","SUPPLY_CHAIN_SUPPLIERS_FULL_DATA")</f>
        <v/>
      </c>
      <c r="GM5">
        <f>BDS("TWLO US Equity","SUPPLY_CHAIN_CUSTOMERS_FULL_DATA")</f>
        <v/>
      </c>
      <c r="HC5">
        <f>BDS("AGN US Equity","SUPPLY_CHAIN_SUPPLIERS_FULL_DATA")</f>
        <v/>
      </c>
      <c r="HQ5">
        <f>BDS("AGN US Equity","SUPPLY_CHAIN_CUSTOMERS_FULL_DATA")</f>
        <v/>
      </c>
      <c r="IG5">
        <f>BDS("WCOEQ US Equity","SUPPLY_CHAIN_SUPPLIERS_FULL_DATA")</f>
        <v/>
      </c>
      <c r="IU5">
        <f>BDS("WCOEQ US Equity","SUPPLY_CHAIN_CUSTOMERS_FULL_DATA")</f>
        <v/>
      </c>
      <c r="JK5">
        <f>BDS("9993232D US Equity","SUPPLY_CHAIN_SUPPLIERS_FULL_DATA")</f>
        <v/>
      </c>
      <c r="JY5">
        <f>BDS("9993232D US Equity","SUPPLY_CHAIN_CUSTOMERS_FULL_DATA")</f>
        <v/>
      </c>
      <c r="KO5">
        <f>BDS("BX US Equity","SUPPLY_CHAIN_SUPPLIERS_FULL_DATA")</f>
        <v/>
      </c>
      <c r="LC5">
        <f>BDS("BX US Equity","SUPPLY_CHAIN_CUSTOMERS_FULL_DATA")</f>
        <v/>
      </c>
      <c r="LS5">
        <f>BDS("CLDR US Equity","SUPPLY_CHAIN_SUPPLIERS_FULL_DATA")</f>
        <v/>
      </c>
      <c r="MG5">
        <f>BDS("CLDR US Equity","SUPPLY_CHAIN_CUSTOMERS_FULL_DATA")</f>
        <v/>
      </c>
      <c r="MW5">
        <f>BDS("SATS US Equity","SUPPLY_CHAIN_SUPPLIERS_FULL_DATA")</f>
        <v/>
      </c>
      <c r="NK5">
        <f>BDS("SATS US Equity","SUPPLY_CHAIN_CUSTOMERS_FULL_DATA")</f>
        <v/>
      </c>
      <c r="OA5">
        <f>BDS("KND US Equity","SUPPLY_CHAIN_SUPPLIERS_FULL_DATA")</f>
        <v/>
      </c>
      <c r="OO5">
        <f>BDS("KND US Equity","SUPPLY_CHAIN_CUSTOMERS_FULL_DATA")</f>
        <v/>
      </c>
      <c r="PE5">
        <f>BDS("TFC US Equity","SUPPLY_CHAIN_SUPPLIERS_FULL_DATA")</f>
        <v/>
      </c>
      <c r="PS5">
        <f>BDS("TFC US Equity","SUPPLY_CHAIN_CUSTOMERS_FULL_DATA")</f>
        <v/>
      </c>
      <c r="QI5">
        <f>BDS("WNR US Equity","SUPPLY_CHAIN_SUPPLIERS_FULL_DATA")</f>
        <v/>
      </c>
      <c r="QW5">
        <f>BDS("WNR US Equity","SUPPLY_CHAIN_CUSTOMERS_FULL_DATA")</f>
        <v/>
      </c>
      <c r="RM5">
        <f>BDS("BX US Equity","SUPPLY_CHAIN_SUPPLIERS_FULL_DATA")</f>
        <v/>
      </c>
      <c r="SA5">
        <f>BDS("BX US Equity","SUPPLY_CHAIN_CUSTOMERS_FULL_DATA")</f>
        <v/>
      </c>
      <c r="SQ5">
        <f>BDS("CXW US Equity","SUPPLY_CHAIN_SUPPLIERS_FULL_DATA")</f>
        <v/>
      </c>
      <c r="TE5">
        <f>BDS("CXW US Equity","SUPPLY_CHAIN_CUSTOMERS_FULL_DATA")</f>
        <v/>
      </c>
      <c r="TU5">
        <f>BDS("MCK US Equity","SUPPLY_CHAIN_SUPPLIERS_FULL_DATA")</f>
        <v/>
      </c>
      <c r="UI5">
        <f>BDS("MCK US Equity","SUPPLY_CHAIN_CUSTOMERS_FULL_DATA")</f>
        <v/>
      </c>
      <c r="UY5">
        <f>BDS("CPT US Equity","SUPPLY_CHAIN_SUPPLIERS_FULL_DATA")</f>
        <v/>
      </c>
      <c r="VM5">
        <f>BDS("CPT US Equity","SUPPLY_CHAIN_CUSTOMERS_FULL_DATA")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1002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1003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1004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1005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1006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1007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1008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1009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1010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1011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1012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1013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1014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1015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1016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1017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1018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1019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1020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OA US Equity</t>
        </is>
      </c>
      <c r="AE2" s="3" t="inlineStr">
        <is>
          <t>CMLP US Equity</t>
        </is>
      </c>
      <c r="BI2" s="3" t="inlineStr">
        <is>
          <t>V US Equity</t>
        </is>
      </c>
      <c r="CM2" s="3" t="inlineStr">
        <is>
          <t>TT US Equity</t>
        </is>
      </c>
      <c r="DQ2" s="3" t="inlineStr">
        <is>
          <t>TDAY US Equity</t>
        </is>
      </c>
      <c r="EU2" s="3" t="inlineStr">
        <is>
          <t>605555Q US Equity</t>
        </is>
      </c>
      <c r="FY2" s="3" t="inlineStr">
        <is>
          <t>MER US Equity</t>
        </is>
      </c>
      <c r="HC2" s="3" t="inlineStr">
        <is>
          <t>NLY US Equity</t>
        </is>
      </c>
      <c r="IG2" s="3" t="inlineStr">
        <is>
          <t>VMW US Equity</t>
        </is>
      </c>
      <c r="JK2" s="3" t="inlineStr">
        <is>
          <t>EPC US Equity</t>
        </is>
      </c>
      <c r="KO2" s="3" t="inlineStr">
        <is>
          <t>QVCGA US Equity</t>
        </is>
      </c>
      <c r="LS2" s="3" t="inlineStr">
        <is>
          <t>SWY US Equity</t>
        </is>
      </c>
      <c r="MW2" s="3" t="inlineStr">
        <is>
          <t>COOP US Equity</t>
        </is>
      </c>
      <c r="OA2" s="3" t="inlineStr">
        <is>
          <t>PFE US Equity</t>
        </is>
      </c>
      <c r="PE2" s="3" t="inlineStr">
        <is>
          <t>ORCL US Equity</t>
        </is>
      </c>
      <c r="QI2" s="3" t="inlineStr">
        <is>
          <t>nan Equity</t>
        </is>
      </c>
      <c r="RM2" s="3" t="inlineStr">
        <is>
          <t>2641504Q US Equity</t>
        </is>
      </c>
      <c r="SQ2" s="3" t="inlineStr">
        <is>
          <t>0544749D US Equity</t>
        </is>
      </c>
      <c r="TU2" s="3" t="inlineStr">
        <is>
          <t>1260972D US Equity</t>
        </is>
      </c>
      <c r="UY2" s="3" t="inlineStr">
        <is>
          <t>3437127Q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BDS("OA US Equity","SUPPLY_CHAIN_SUPPLIERS_FULL_DATA")</f>
        <v/>
      </c>
      <c r="O5">
        <f>BDS("OA US Equity","SUPPLY_CHAIN_CUSTOMERS_FULL_DATA")</f>
        <v/>
      </c>
      <c r="AE5">
        <f>BDS("CMLP US Equity","SUPPLY_CHAIN_SUPPLIERS_FULL_DATA")</f>
        <v/>
      </c>
      <c r="AS5">
        <f>BDS("CMLP US Equity","SUPPLY_CHAIN_CUSTOMERS_FULL_DATA")</f>
        <v/>
      </c>
      <c r="BI5">
        <f>BDS("V US Equity","SUPPLY_CHAIN_SUPPLIERS_FULL_DATA")</f>
        <v/>
      </c>
      <c r="BW5">
        <f>BDS("V US Equity","SUPPLY_CHAIN_CUSTOMERS_FULL_DATA")</f>
        <v/>
      </c>
      <c r="CM5">
        <f>BDS("TT US Equity","SUPPLY_CHAIN_SUPPLIERS_FULL_DATA")</f>
        <v/>
      </c>
      <c r="DA5">
        <f>BDS("TT US Equity","SUPPLY_CHAIN_CUSTOMERS_FULL_DATA")</f>
        <v/>
      </c>
      <c r="DQ5">
        <f>BDS("TDAY US Equity","SUPPLY_CHAIN_SUPPLIERS_FULL_DATA")</f>
        <v/>
      </c>
      <c r="EE5">
        <f>BDS("TDAY US Equity","SUPPLY_CHAIN_CUSTOMERS_FULL_DATA")</f>
        <v/>
      </c>
      <c r="EU5">
        <f>BDS("605555Q US Equity","SUPPLY_CHAIN_SUPPLIERS_FULL_DATA")</f>
        <v/>
      </c>
      <c r="FI5">
        <f>BDS("605555Q US Equity","SUPPLY_CHAIN_CUSTOMERS_FULL_DATA")</f>
        <v/>
      </c>
      <c r="FY5">
        <f>BDS("MER US Equity","SUPPLY_CHAIN_SUPPLIERS_FULL_DATA")</f>
        <v/>
      </c>
      <c r="GM5">
        <f>BDS("MER US Equity","SUPPLY_CHAIN_CUSTOMERS_FULL_DATA")</f>
        <v/>
      </c>
      <c r="HC5">
        <f>BDS("NLY US Equity","SUPPLY_CHAIN_SUPPLIERS_FULL_DATA")</f>
        <v/>
      </c>
      <c r="HQ5">
        <f>BDS("NLY US Equity","SUPPLY_CHAIN_CUSTOMERS_FULL_DATA")</f>
        <v/>
      </c>
      <c r="IG5">
        <f>BDS("VMW US Equity","SUPPLY_CHAIN_SUPPLIERS_FULL_DATA")</f>
        <v/>
      </c>
      <c r="IU5">
        <f>BDS("VMW US Equity","SUPPLY_CHAIN_CUSTOMERS_FULL_DATA")</f>
        <v/>
      </c>
      <c r="JK5">
        <f>BDS("EPC US Equity","SUPPLY_CHAIN_SUPPLIERS_FULL_DATA")</f>
        <v/>
      </c>
      <c r="JY5">
        <f>BDS("EPC US Equity","SUPPLY_CHAIN_CUSTOMERS_FULL_DATA")</f>
        <v/>
      </c>
      <c r="KO5">
        <f>BDS("QVCGA US Equity","SUPPLY_CHAIN_SUPPLIERS_FULL_DATA")</f>
        <v/>
      </c>
      <c r="LC5">
        <f>BDS("QVCGA US Equity","SUPPLY_CHAIN_CUSTOMERS_FULL_DATA")</f>
        <v/>
      </c>
      <c r="LS5">
        <f>BDS("SWY US Equity","SUPPLY_CHAIN_SUPPLIERS_FULL_DATA")</f>
        <v/>
      </c>
      <c r="MG5">
        <f>BDS("SWY US Equity","SUPPLY_CHAIN_CUSTOMERS_FULL_DATA")</f>
        <v/>
      </c>
      <c r="MW5">
        <f>BDS("COOP US Equity","SUPPLY_CHAIN_SUPPLIERS_FULL_DATA")</f>
        <v/>
      </c>
      <c r="NK5">
        <f>BDS("COOP US Equity","SUPPLY_CHAIN_CUSTOMERS_FULL_DATA")</f>
        <v/>
      </c>
      <c r="OA5">
        <f>BDS("PFE US Equity","SUPPLY_CHAIN_SUPPLIERS_FULL_DATA")</f>
        <v/>
      </c>
      <c r="OO5">
        <f>BDS("PFE US Equity","SUPPLY_CHAIN_CUSTOMERS_FULL_DATA")</f>
        <v/>
      </c>
      <c r="PE5">
        <f>BDS("ORCL US Equity","SUPPLY_CHAIN_SUPPLIERS_FULL_DATA")</f>
        <v/>
      </c>
      <c r="PS5">
        <f>BDS("ORCL US Equity","SUPPLY_CHAIN_CUSTOMERS_FULL_DATA")</f>
        <v/>
      </c>
      <c r="QI5">
        <f>BDS("nan Equity","SUPPLY_CHAIN_SUPPLIERS_FULL_DATA")</f>
        <v/>
      </c>
      <c r="QW5">
        <f>BDS("nan Equity","SUPPLY_CHAIN_CUSTOMERS_FULL_DATA")</f>
        <v/>
      </c>
      <c r="RM5">
        <f>BDS("2641504Q US Equity","SUPPLY_CHAIN_SUPPLIERS_FULL_DATA")</f>
        <v/>
      </c>
      <c r="SA5">
        <f>BDS("2641504Q US Equity","SUPPLY_CHAIN_CUSTOMERS_FULL_DATA")</f>
        <v/>
      </c>
      <c r="SQ5">
        <f>BDS("0544749D US Equity","SUPPLY_CHAIN_SUPPLIERS_FULL_DATA")</f>
        <v/>
      </c>
      <c r="TE5">
        <f>BDS("0544749D US Equity","SUPPLY_CHAIN_CUSTOMERS_FULL_DATA")</f>
        <v/>
      </c>
      <c r="TU5">
        <f>BDS("1260972D US Equity","SUPPLY_CHAIN_SUPPLIERS_FULL_DATA")</f>
        <v/>
      </c>
      <c r="UI5">
        <f>BDS("1260972D US Equity","SUPPLY_CHAIN_CUSTOMERS_FULL_DATA")</f>
        <v/>
      </c>
      <c r="UY5">
        <f>BDS("3437127Q US Equity","SUPPLY_CHAIN_SUPPLIERS_FULL_DATA")</f>
        <v/>
      </c>
      <c r="VM5">
        <f>BDS("3437127Q US Equity","SUPPLY_CHAIN_CUSTOMERS_FULL_DATA")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1022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1023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1024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1025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1026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1027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1028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1029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1030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1031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1032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1033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1034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1035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1036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1037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1038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1039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1040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PDCE US Equity</t>
        </is>
      </c>
      <c r="AE2" s="3" t="inlineStr">
        <is>
          <t>VZ US Equity</t>
        </is>
      </c>
      <c r="BI2" s="3" t="inlineStr">
        <is>
          <t>PSIXQ US Equity</t>
        </is>
      </c>
      <c r="CM2" s="3" t="inlineStr">
        <is>
          <t>PARA US Equity</t>
        </is>
      </c>
      <c r="DQ2" s="3" t="inlineStr">
        <is>
          <t>FIS US Equity</t>
        </is>
      </c>
      <c r="EU2" s="3" t="inlineStr">
        <is>
          <t>CEMJQ US Equity</t>
        </is>
      </c>
      <c r="FY2" s="3" t="inlineStr">
        <is>
          <t>CMLS US Equity</t>
        </is>
      </c>
      <c r="HC2" s="3" t="inlineStr">
        <is>
          <t>NCF US Equity</t>
        </is>
      </c>
      <c r="IG2" s="3" t="inlineStr">
        <is>
          <t>ZTS US Equity</t>
        </is>
      </c>
      <c r="JK2" s="3" t="inlineStr">
        <is>
          <t>DRE US Equity</t>
        </is>
      </c>
      <c r="KO2" s="3" t="inlineStr">
        <is>
          <t>nan Equity</t>
        </is>
      </c>
      <c r="LS2" s="3" t="inlineStr">
        <is>
          <t>1910 HK Equity</t>
        </is>
      </c>
      <c r="MW2" s="3" t="inlineStr">
        <is>
          <t>PHM US Equity</t>
        </is>
      </c>
      <c r="OA2" s="3" t="inlineStr">
        <is>
          <t>BRK/A US Equity</t>
        </is>
      </c>
      <c r="PE2" s="3" t="inlineStr">
        <is>
          <t>MTX US Equity</t>
        </is>
      </c>
      <c r="QI2" s="3" t="inlineStr">
        <is>
          <t>FCH US Equity</t>
        </is>
      </c>
      <c r="RM2" s="3" t="inlineStr">
        <is>
          <t>NDAQ US Equity</t>
        </is>
      </c>
      <c r="SQ2" s="3" t="inlineStr">
        <is>
          <t>CUBE US Equity</t>
        </is>
      </c>
      <c r="TU2" s="3" t="inlineStr">
        <is>
          <t>MLKN US Equity</t>
        </is>
      </c>
      <c r="UY2" s="3" t="inlineStr">
        <is>
          <t>OCR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BDS("PDCE US Equity","SUPPLY_CHAIN_SUPPLIERS_FULL_DATA")</f>
        <v/>
      </c>
      <c r="O5">
        <f>BDS("PDCE US Equity","SUPPLY_CHAIN_CUSTOMERS_FULL_DATA")</f>
        <v/>
      </c>
      <c r="AE5">
        <f>BDS("VZ US Equity","SUPPLY_CHAIN_SUPPLIERS_FULL_DATA")</f>
        <v/>
      </c>
      <c r="AS5">
        <f>BDS("VZ US Equity","SUPPLY_CHAIN_CUSTOMERS_FULL_DATA")</f>
        <v/>
      </c>
      <c r="BI5">
        <f>BDS("PSIXQ US Equity","SUPPLY_CHAIN_SUPPLIERS_FULL_DATA")</f>
        <v/>
      </c>
      <c r="BW5">
        <f>BDS("PSIXQ US Equity","SUPPLY_CHAIN_CUSTOMERS_FULL_DATA")</f>
        <v/>
      </c>
      <c r="CM5">
        <f>BDS("PARA US Equity","SUPPLY_CHAIN_SUPPLIERS_FULL_DATA")</f>
        <v/>
      </c>
      <c r="DA5">
        <f>BDS("PARA US Equity","SUPPLY_CHAIN_CUSTOMERS_FULL_DATA")</f>
        <v/>
      </c>
      <c r="DQ5">
        <f>BDS("FIS US Equity","SUPPLY_CHAIN_SUPPLIERS_FULL_DATA")</f>
        <v/>
      </c>
      <c r="EE5">
        <f>BDS("FIS US Equity","SUPPLY_CHAIN_CUSTOMERS_FULL_DATA")</f>
        <v/>
      </c>
      <c r="EU5">
        <f>BDS("CEMJQ US Equity","SUPPLY_CHAIN_SUPPLIERS_FULL_DATA")</f>
        <v/>
      </c>
      <c r="FI5">
        <f>BDS("CEMJQ US Equity","SUPPLY_CHAIN_CUSTOMERS_FULL_DATA")</f>
        <v/>
      </c>
      <c r="FY5">
        <f>BDS("CMLS US Equity","SUPPLY_CHAIN_SUPPLIERS_FULL_DATA")</f>
        <v/>
      </c>
      <c r="GM5">
        <f>BDS("CMLS US Equity","SUPPLY_CHAIN_CUSTOMERS_FULL_DATA")</f>
        <v/>
      </c>
      <c r="HC5">
        <f>BDS("NCF US Equity","SUPPLY_CHAIN_SUPPLIERS_FULL_DATA")</f>
        <v/>
      </c>
      <c r="HQ5">
        <f>BDS("NCF US Equity","SUPPLY_CHAIN_CUSTOMERS_FULL_DATA")</f>
        <v/>
      </c>
      <c r="IG5">
        <f>BDS("ZTS US Equity","SUPPLY_CHAIN_SUPPLIERS_FULL_DATA")</f>
        <v/>
      </c>
      <c r="IU5">
        <f>BDS("ZTS US Equity","SUPPLY_CHAIN_CUSTOMERS_FULL_DATA")</f>
        <v/>
      </c>
      <c r="JK5">
        <f>BDS("DRE US Equity","SUPPLY_CHAIN_SUPPLIERS_FULL_DATA")</f>
        <v/>
      </c>
      <c r="JY5">
        <f>BDS("DRE US Equity","SUPPLY_CHAIN_CUSTOMERS_FULL_DATA")</f>
        <v/>
      </c>
      <c r="KO5">
        <f>BDS("nan Equity","SUPPLY_CHAIN_SUPPLIERS_FULL_DATA")</f>
        <v/>
      </c>
      <c r="LC5">
        <f>BDS("nan Equity","SUPPLY_CHAIN_CUSTOMERS_FULL_DATA")</f>
        <v/>
      </c>
      <c r="LS5">
        <f>BDS("1910 HK Equity","SUPPLY_CHAIN_SUPPLIERS_FULL_DATA")</f>
        <v/>
      </c>
      <c r="MG5">
        <f>BDS("1910 HK Equity","SUPPLY_CHAIN_CUSTOMERS_FULL_DATA")</f>
        <v/>
      </c>
      <c r="MW5">
        <f>BDS("PHM US Equity","SUPPLY_CHAIN_SUPPLIERS_FULL_DATA")</f>
        <v/>
      </c>
      <c r="NK5">
        <f>BDS("PHM US Equity","SUPPLY_CHAIN_CUSTOMERS_FULL_DATA")</f>
        <v/>
      </c>
      <c r="OA5">
        <f>BDS("BRK/A US Equity","SUPPLY_CHAIN_SUPPLIERS_FULL_DATA")</f>
        <v/>
      </c>
      <c r="OO5">
        <f>BDS("BRK/A US Equity","SUPPLY_CHAIN_CUSTOMERS_FULL_DATA")</f>
        <v/>
      </c>
      <c r="PE5">
        <f>BDS("MTX US Equity","SUPPLY_CHAIN_SUPPLIERS_FULL_DATA")</f>
        <v/>
      </c>
      <c r="PS5">
        <f>BDS("MTX US Equity","SUPPLY_CHAIN_CUSTOMERS_FULL_DATA")</f>
        <v/>
      </c>
      <c r="QI5">
        <f>BDS("FCH US Equity","SUPPLY_CHAIN_SUPPLIERS_FULL_DATA")</f>
        <v/>
      </c>
      <c r="QW5">
        <f>BDS("FCH US Equity","SUPPLY_CHAIN_CUSTOMERS_FULL_DATA")</f>
        <v/>
      </c>
      <c r="RM5">
        <f>BDS("NDAQ US Equity","SUPPLY_CHAIN_SUPPLIERS_FULL_DATA")</f>
        <v/>
      </c>
      <c r="SA5">
        <f>BDS("NDAQ US Equity","SUPPLY_CHAIN_CUSTOMERS_FULL_DATA")</f>
        <v/>
      </c>
      <c r="SQ5">
        <f>BDS("CUBE US Equity","SUPPLY_CHAIN_SUPPLIERS_FULL_DATA")</f>
        <v/>
      </c>
      <c r="TE5">
        <f>BDS("CUBE US Equity","SUPPLY_CHAIN_CUSTOMERS_FULL_DATA")</f>
        <v/>
      </c>
      <c r="TU5">
        <f>BDS("MLKN US Equity","SUPPLY_CHAIN_SUPPLIERS_FULL_DATA")</f>
        <v/>
      </c>
      <c r="UI5">
        <f>BDS("MLKN US Equity","SUPPLY_CHAIN_CUSTOMERS_FULL_DATA")</f>
        <v/>
      </c>
      <c r="UY5">
        <f>BDS("OCR US Equity","SUPPLY_CHAIN_SUPPLIERS_FULL_DATA")</f>
        <v/>
      </c>
      <c r="VM5">
        <f>BDS("OCR US Equity","SUPPLY_CHAIN_CUSTOMERS_FULL_DATA")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1041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1042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1043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1044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1045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1046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1047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1048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1049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1050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1051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1052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1053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1054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1055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1056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1057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1058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1059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1060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KCI US Equity</t>
        </is>
      </c>
      <c r="AE2" s="3" t="inlineStr">
        <is>
          <t>ARLP US Equity</t>
        </is>
      </c>
      <c r="BI2" s="3" t="inlineStr">
        <is>
          <t>MCK US Equity</t>
        </is>
      </c>
      <c r="CM2" s="3" t="inlineStr">
        <is>
          <t>TALO US Equity</t>
        </is>
      </c>
      <c r="DQ2" s="3" t="inlineStr">
        <is>
          <t>AMAT US Equity</t>
        </is>
      </c>
      <c r="EU2" s="3" t="inlineStr">
        <is>
          <t>ZION US Equity</t>
        </is>
      </c>
      <c r="FY2" s="3" t="inlineStr">
        <is>
          <t>PDE US Equity</t>
        </is>
      </c>
      <c r="HC2" s="3" t="inlineStr">
        <is>
          <t>XRX US Equity</t>
        </is>
      </c>
      <c r="IG2" s="3" t="inlineStr">
        <is>
          <t>IBM US Equity</t>
        </is>
      </c>
      <c r="JK2" s="3" t="inlineStr">
        <is>
          <t>BKNG US Equity</t>
        </is>
      </c>
      <c r="KO2" s="3" t="inlineStr">
        <is>
          <t>MFW US Equity</t>
        </is>
      </c>
      <c r="LS2" s="3" t="inlineStr">
        <is>
          <t>APH US Equity</t>
        </is>
      </c>
      <c r="MW2" s="3" t="inlineStr">
        <is>
          <t>FLG US Equity</t>
        </is>
      </c>
      <c r="OA2" s="3" t="inlineStr">
        <is>
          <t>653707Q US Equity</t>
        </is>
      </c>
      <c r="PE2" s="3" t="inlineStr">
        <is>
          <t>WP US Equity</t>
        </is>
      </c>
      <c r="QI2" s="3" t="inlineStr">
        <is>
          <t>RNR US Equity</t>
        </is>
      </c>
      <c r="RM2" s="3" t="inlineStr">
        <is>
          <t>nan Equity</t>
        </is>
      </c>
      <c r="SQ2" s="3" t="inlineStr">
        <is>
          <t>CY US Equity</t>
        </is>
      </c>
      <c r="TU2" s="3" t="inlineStr">
        <is>
          <t>NFS US Equity</t>
        </is>
      </c>
      <c r="UY2" s="3" t="inlineStr">
        <is>
          <t>THC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BDS("KCI US Equity","SUPPLY_CHAIN_SUPPLIERS_FULL_DATA")</f>
        <v/>
      </c>
      <c r="O5">
        <f>BDS("KCI US Equity","SUPPLY_CHAIN_CUSTOMERS_FULL_DATA")</f>
        <v/>
      </c>
      <c r="AE5">
        <f>BDS("ARLP US Equity","SUPPLY_CHAIN_SUPPLIERS_FULL_DATA")</f>
        <v/>
      </c>
      <c r="AS5">
        <f>BDS("ARLP US Equity","SUPPLY_CHAIN_CUSTOMERS_FULL_DATA")</f>
        <v/>
      </c>
      <c r="BI5">
        <f>BDS("MCK US Equity","SUPPLY_CHAIN_SUPPLIERS_FULL_DATA")</f>
        <v/>
      </c>
      <c r="BW5">
        <f>BDS("MCK US Equity","SUPPLY_CHAIN_CUSTOMERS_FULL_DATA")</f>
        <v/>
      </c>
      <c r="CM5">
        <f>BDS("TALO US Equity","SUPPLY_CHAIN_SUPPLIERS_FULL_DATA")</f>
        <v/>
      </c>
      <c r="DA5">
        <f>BDS("TALO US Equity","SUPPLY_CHAIN_CUSTOMERS_FULL_DATA")</f>
        <v/>
      </c>
      <c r="DQ5">
        <f>BDS("AMAT US Equity","SUPPLY_CHAIN_SUPPLIERS_FULL_DATA")</f>
        <v/>
      </c>
      <c r="EE5">
        <f>BDS("AMAT US Equity","SUPPLY_CHAIN_CUSTOMERS_FULL_DATA")</f>
        <v/>
      </c>
      <c r="EU5">
        <f>BDS("ZION US Equity","SUPPLY_CHAIN_SUPPLIERS_FULL_DATA")</f>
        <v/>
      </c>
      <c r="FI5">
        <f>BDS("ZION US Equity","SUPPLY_CHAIN_CUSTOMERS_FULL_DATA")</f>
        <v/>
      </c>
      <c r="FY5">
        <f>BDS("PDE US Equity","SUPPLY_CHAIN_SUPPLIERS_FULL_DATA")</f>
        <v/>
      </c>
      <c r="GM5">
        <f>BDS("PDE US Equity","SUPPLY_CHAIN_CUSTOMERS_FULL_DATA")</f>
        <v/>
      </c>
      <c r="HC5">
        <f>BDS("XRX US Equity","SUPPLY_CHAIN_SUPPLIERS_FULL_DATA")</f>
        <v/>
      </c>
      <c r="HQ5">
        <f>BDS("XRX US Equity","SUPPLY_CHAIN_CUSTOMERS_FULL_DATA")</f>
        <v/>
      </c>
      <c r="IG5">
        <f>BDS("IBM US Equity","SUPPLY_CHAIN_SUPPLIERS_FULL_DATA")</f>
        <v/>
      </c>
      <c r="IU5">
        <f>BDS("IBM US Equity","SUPPLY_CHAIN_CUSTOMERS_FULL_DATA")</f>
        <v/>
      </c>
      <c r="JK5">
        <f>BDS("BKNG US Equity","SUPPLY_CHAIN_SUPPLIERS_FULL_DATA")</f>
        <v/>
      </c>
      <c r="JY5">
        <f>BDS("BKNG US Equity","SUPPLY_CHAIN_CUSTOMERS_FULL_DATA")</f>
        <v/>
      </c>
      <c r="KO5">
        <f>BDS("MFW US Equity","SUPPLY_CHAIN_SUPPLIERS_FULL_DATA")</f>
        <v/>
      </c>
      <c r="LC5">
        <f>BDS("MFW US Equity","SUPPLY_CHAIN_CUSTOMERS_FULL_DATA")</f>
        <v/>
      </c>
      <c r="LS5">
        <f>BDS("APH US Equity","SUPPLY_CHAIN_SUPPLIERS_FULL_DATA")</f>
        <v/>
      </c>
      <c r="MG5">
        <f>BDS("APH US Equity","SUPPLY_CHAIN_CUSTOMERS_FULL_DATA")</f>
        <v/>
      </c>
      <c r="MW5">
        <f>BDS("FLG US Equity","SUPPLY_CHAIN_SUPPLIERS_FULL_DATA")</f>
        <v/>
      </c>
      <c r="NK5">
        <f>BDS("FLG US Equity","SUPPLY_CHAIN_CUSTOMERS_FULL_DATA")</f>
        <v/>
      </c>
      <c r="OA5">
        <f>BDS("653707Q US Equity","SUPPLY_CHAIN_SUPPLIERS_FULL_DATA")</f>
        <v/>
      </c>
      <c r="OO5">
        <f>BDS("653707Q US Equity","SUPPLY_CHAIN_CUSTOMERS_FULL_DATA")</f>
        <v/>
      </c>
      <c r="PE5">
        <f>BDS("WP US Equity","SUPPLY_CHAIN_SUPPLIERS_FULL_DATA")</f>
        <v/>
      </c>
      <c r="PS5">
        <f>BDS("WP US Equity","SUPPLY_CHAIN_CUSTOMERS_FULL_DATA")</f>
        <v/>
      </c>
      <c r="QI5">
        <f>BDS("RNR US Equity","SUPPLY_CHAIN_SUPPLIERS_FULL_DATA")</f>
        <v/>
      </c>
      <c r="QW5">
        <f>BDS("RNR US Equity","SUPPLY_CHAIN_CUSTOMERS_FULL_DATA")</f>
        <v/>
      </c>
      <c r="RM5">
        <f>BDS("nan Equity","SUPPLY_CHAIN_SUPPLIERS_FULL_DATA")</f>
        <v/>
      </c>
      <c r="SA5">
        <f>BDS("nan Equity","SUPPLY_CHAIN_CUSTOMERS_FULL_DATA")</f>
        <v/>
      </c>
      <c r="SQ5">
        <f>BDS("CY US Equity","SUPPLY_CHAIN_SUPPLIERS_FULL_DATA")</f>
        <v/>
      </c>
      <c r="TE5">
        <f>BDS("CY US Equity","SUPPLY_CHAIN_CUSTOMERS_FULL_DATA")</f>
        <v/>
      </c>
      <c r="TU5">
        <f>BDS("NFS US Equity","SUPPLY_CHAIN_SUPPLIERS_FULL_DATA")</f>
        <v/>
      </c>
      <c r="UI5">
        <f>BDS("NFS US Equity","SUPPLY_CHAIN_CUSTOMERS_FULL_DATA")</f>
        <v/>
      </c>
      <c r="UY5">
        <f>BDS("THC US Equity","SUPPLY_CHAIN_SUPPLIERS_FULL_DATA")</f>
        <v/>
      </c>
      <c r="VM5">
        <f>BDS("THC US Equity","SUPPLY_CHAIN_CUSTOMERS_FULL_DATA")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1061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1062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1063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1064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1065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1066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1067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1068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1069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1070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1071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1072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1073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1074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1075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1076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1077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1078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1079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1080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POST US Equity</t>
        </is>
      </c>
      <c r="AE2" s="3" t="inlineStr">
        <is>
          <t>BPL US Equity</t>
        </is>
      </c>
      <c r="BI2" s="3" t="inlineStr">
        <is>
          <t>GLW US Equity</t>
        </is>
      </c>
      <c r="CM2" s="3" t="inlineStr">
        <is>
          <t>IDTI US Equity</t>
        </is>
      </c>
      <c r="DQ2" s="3" t="inlineStr">
        <is>
          <t>AMGN US Equity</t>
        </is>
      </c>
      <c r="EU2" s="3" t="inlineStr">
        <is>
          <t>HLIT US Equity</t>
        </is>
      </c>
      <c r="FY2" s="3" t="inlineStr">
        <is>
          <t>4622869Z US Equity</t>
        </is>
      </c>
      <c r="HC2" s="3" t="inlineStr">
        <is>
          <t>SPHR US Equity</t>
        </is>
      </c>
      <c r="IG2" s="3" t="inlineStr">
        <is>
          <t>EXPE US Equity</t>
        </is>
      </c>
      <c r="JK2" s="3" t="inlineStr">
        <is>
          <t>ANRZQ US Equity</t>
        </is>
      </c>
      <c r="KO2" s="3" t="inlineStr">
        <is>
          <t>MTOR US Equity</t>
        </is>
      </c>
      <c r="LS2" s="3" t="inlineStr">
        <is>
          <t>ETN US Equity</t>
        </is>
      </c>
      <c r="MW2" s="3" t="inlineStr">
        <is>
          <t>0574018D US Equity</t>
        </is>
      </c>
      <c r="OA2" s="3" t="inlineStr">
        <is>
          <t>1837572D US Equity</t>
        </is>
      </c>
      <c r="PE2" s="3" t="inlineStr">
        <is>
          <t>MFNXQ US Equity</t>
        </is>
      </c>
      <c r="QI2" s="3" t="inlineStr">
        <is>
          <t>IBM US Equity</t>
        </is>
      </c>
      <c r="RM2" s="3" t="inlineStr">
        <is>
          <t>CSCO US Equity</t>
        </is>
      </c>
      <c r="SQ2" s="3" t="inlineStr">
        <is>
          <t>INTC US Equity</t>
        </is>
      </c>
      <c r="TU2" s="3" t="inlineStr">
        <is>
          <t>BX US Equity</t>
        </is>
      </c>
      <c r="UY2" s="3" t="inlineStr">
        <is>
          <t>166783Q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BDS("POST US Equity","SUPPLY_CHAIN_SUPPLIERS_FULL_DATA")</f>
        <v/>
      </c>
      <c r="O5">
        <f>BDS("POST US Equity","SUPPLY_CHAIN_CUSTOMERS_FULL_DATA")</f>
        <v/>
      </c>
      <c r="AE5">
        <f>BDS("BPL US Equity","SUPPLY_CHAIN_SUPPLIERS_FULL_DATA")</f>
        <v/>
      </c>
      <c r="AS5">
        <f>BDS("BPL US Equity","SUPPLY_CHAIN_CUSTOMERS_FULL_DATA")</f>
        <v/>
      </c>
      <c r="BI5">
        <f>BDS("GLW US Equity","SUPPLY_CHAIN_SUPPLIERS_FULL_DATA")</f>
        <v/>
      </c>
      <c r="BW5">
        <f>BDS("GLW US Equity","SUPPLY_CHAIN_CUSTOMERS_FULL_DATA")</f>
        <v/>
      </c>
      <c r="CM5">
        <f>BDS("IDTI US Equity","SUPPLY_CHAIN_SUPPLIERS_FULL_DATA")</f>
        <v/>
      </c>
      <c r="DA5">
        <f>BDS("IDTI US Equity","SUPPLY_CHAIN_CUSTOMERS_FULL_DATA")</f>
        <v/>
      </c>
      <c r="DQ5">
        <f>BDS("AMGN US Equity","SUPPLY_CHAIN_SUPPLIERS_FULL_DATA")</f>
        <v/>
      </c>
      <c r="EE5">
        <f>BDS("AMGN US Equity","SUPPLY_CHAIN_CUSTOMERS_FULL_DATA")</f>
        <v/>
      </c>
      <c r="EU5">
        <f>BDS("HLIT US Equity","SUPPLY_CHAIN_SUPPLIERS_FULL_DATA")</f>
        <v/>
      </c>
      <c r="FI5">
        <f>BDS("HLIT US Equity","SUPPLY_CHAIN_CUSTOMERS_FULL_DATA")</f>
        <v/>
      </c>
      <c r="FY5">
        <f>BDS("4622869Z US Equity","SUPPLY_CHAIN_SUPPLIERS_FULL_DATA")</f>
        <v/>
      </c>
      <c r="GM5">
        <f>BDS("4622869Z US Equity","SUPPLY_CHAIN_CUSTOMERS_FULL_DATA")</f>
        <v/>
      </c>
      <c r="HC5">
        <f>BDS("SPHR US Equity","SUPPLY_CHAIN_SUPPLIERS_FULL_DATA")</f>
        <v/>
      </c>
      <c r="HQ5">
        <f>BDS("SPHR US Equity","SUPPLY_CHAIN_CUSTOMERS_FULL_DATA")</f>
        <v/>
      </c>
      <c r="IG5">
        <f>BDS("EXPE US Equity","SUPPLY_CHAIN_SUPPLIERS_FULL_DATA")</f>
        <v/>
      </c>
      <c r="IU5">
        <f>BDS("EXPE US Equity","SUPPLY_CHAIN_CUSTOMERS_FULL_DATA")</f>
        <v/>
      </c>
      <c r="JK5">
        <f>BDS("ANRZQ US Equity","SUPPLY_CHAIN_SUPPLIERS_FULL_DATA")</f>
        <v/>
      </c>
      <c r="JY5">
        <f>BDS("ANRZQ US Equity","SUPPLY_CHAIN_CUSTOMERS_FULL_DATA")</f>
        <v/>
      </c>
      <c r="KO5">
        <f>BDS("MTOR US Equity","SUPPLY_CHAIN_SUPPLIERS_FULL_DATA")</f>
        <v/>
      </c>
      <c r="LC5">
        <f>BDS("MTOR US Equity","SUPPLY_CHAIN_CUSTOMERS_FULL_DATA")</f>
        <v/>
      </c>
      <c r="LS5">
        <f>BDS("ETN US Equity","SUPPLY_CHAIN_SUPPLIERS_FULL_DATA")</f>
        <v/>
      </c>
      <c r="MG5">
        <f>BDS("ETN US Equity","SUPPLY_CHAIN_CUSTOMERS_FULL_DATA")</f>
        <v/>
      </c>
      <c r="MW5">
        <f>BDS("0574018D US Equity","SUPPLY_CHAIN_SUPPLIERS_FULL_DATA")</f>
        <v/>
      </c>
      <c r="NK5">
        <f>BDS("0574018D US Equity","SUPPLY_CHAIN_CUSTOMERS_FULL_DATA")</f>
        <v/>
      </c>
      <c r="OA5">
        <f>BDS("1837572D US Equity","SUPPLY_CHAIN_SUPPLIERS_FULL_DATA")</f>
        <v/>
      </c>
      <c r="OO5">
        <f>BDS("1837572D US Equity","SUPPLY_CHAIN_CUSTOMERS_FULL_DATA")</f>
        <v/>
      </c>
      <c r="PE5">
        <f>BDS("MFNXQ US Equity","SUPPLY_CHAIN_SUPPLIERS_FULL_DATA")</f>
        <v/>
      </c>
      <c r="PS5">
        <f>BDS("MFNXQ US Equity","SUPPLY_CHAIN_CUSTOMERS_FULL_DATA")</f>
        <v/>
      </c>
      <c r="QI5">
        <f>BDS("IBM US Equity","SUPPLY_CHAIN_SUPPLIERS_FULL_DATA")</f>
        <v/>
      </c>
      <c r="QW5">
        <f>BDS("IBM US Equity","SUPPLY_CHAIN_CUSTOMERS_FULL_DATA")</f>
        <v/>
      </c>
      <c r="RM5">
        <f>BDS("CSCO US Equity","SUPPLY_CHAIN_SUPPLIERS_FULL_DATA")</f>
        <v/>
      </c>
      <c r="SA5">
        <f>BDS("CSCO US Equity","SUPPLY_CHAIN_CUSTOMERS_FULL_DATA")</f>
        <v/>
      </c>
      <c r="SQ5">
        <f>BDS("INTC US Equity","SUPPLY_CHAIN_SUPPLIERS_FULL_DATA")</f>
        <v/>
      </c>
      <c r="TE5">
        <f>BDS("INTC US Equity","SUPPLY_CHAIN_CUSTOMERS_FULL_DATA")</f>
        <v/>
      </c>
      <c r="TU5">
        <f>BDS("BX US Equity","SUPPLY_CHAIN_SUPPLIERS_FULL_DATA")</f>
        <v/>
      </c>
      <c r="UI5">
        <f>BDS("BX US Equity","SUPPLY_CHAIN_CUSTOMERS_FULL_DATA")</f>
        <v/>
      </c>
      <c r="UY5">
        <f>BDS("166783Q US Equity","SUPPLY_CHAIN_SUPPLIERS_FULL_DATA")</f>
        <v/>
      </c>
      <c r="VM5">
        <f>BDS("166783Q US Equity","SUPPLY_CHAIN_CUSTOMERS_FULL_DATA")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1081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1082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1083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1084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1085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1086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1087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1088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1089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1090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1091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1092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1093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1094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1095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1096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1097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1098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1099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1100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BRCD US Equity</t>
        </is>
      </c>
      <c r="AE2" s="3" t="inlineStr">
        <is>
          <t>SD US Equity</t>
        </is>
      </c>
      <c r="BI2" s="3" t="inlineStr">
        <is>
          <t>KEYS US Equity</t>
        </is>
      </c>
      <c r="CM2" s="3" t="inlineStr">
        <is>
          <t>ACH US Equity</t>
        </is>
      </c>
      <c r="DQ2" s="3" t="inlineStr">
        <is>
          <t>ADBE US Equity</t>
        </is>
      </c>
      <c r="EU2" s="3" t="inlineStr">
        <is>
          <t>9876552D US Equity</t>
        </is>
      </c>
      <c r="FY2" s="3" t="inlineStr">
        <is>
          <t>GMH US Equity</t>
        </is>
      </c>
      <c r="HC2" s="3" t="inlineStr">
        <is>
          <t>LPNT US Equity</t>
        </is>
      </c>
      <c r="IG2" s="3" t="inlineStr">
        <is>
          <t>3867693Z US Equity</t>
        </is>
      </c>
      <c r="JK2" s="3" t="inlineStr">
        <is>
          <t>BBWI US Equity</t>
        </is>
      </c>
      <c r="KO2" s="3" t="inlineStr">
        <is>
          <t>CSCO US Equity</t>
        </is>
      </c>
      <c r="LS2" s="3" t="inlineStr">
        <is>
          <t>AGN US Equity</t>
        </is>
      </c>
      <c r="MW2" s="3" t="inlineStr">
        <is>
          <t>ELNK US Equity</t>
        </is>
      </c>
      <c r="OA2" s="3" t="inlineStr">
        <is>
          <t>2309719Q US Equity</t>
        </is>
      </c>
      <c r="PE2" s="3" t="inlineStr">
        <is>
          <t>HPQ US Equity</t>
        </is>
      </c>
      <c r="QI2" s="3" t="inlineStr">
        <is>
          <t>MRK US Equity</t>
        </is>
      </c>
      <c r="RM2" s="3" t="inlineStr">
        <is>
          <t>CCMP US Equity</t>
        </is>
      </c>
      <c r="SQ2" s="3" t="inlineStr">
        <is>
          <t>2556796D US Equity</t>
        </is>
      </c>
      <c r="TU2" s="3" t="inlineStr">
        <is>
          <t>XEC US Equity</t>
        </is>
      </c>
      <c r="UY2" s="3" t="inlineStr">
        <is>
          <t>SVU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BDS("BRCD US Equity","SUPPLY_CHAIN_SUPPLIERS_FULL_DATA")</f>
        <v/>
      </c>
      <c r="O5">
        <f>BDS("BRCD US Equity","SUPPLY_CHAIN_CUSTOMERS_FULL_DATA")</f>
        <v/>
      </c>
      <c r="AE5">
        <f>BDS("SD US Equity","SUPPLY_CHAIN_SUPPLIERS_FULL_DATA")</f>
        <v/>
      </c>
      <c r="AS5">
        <f>BDS("SD US Equity","SUPPLY_CHAIN_CUSTOMERS_FULL_DATA")</f>
        <v/>
      </c>
      <c r="BI5">
        <f>BDS("KEYS US Equity","SUPPLY_CHAIN_SUPPLIERS_FULL_DATA")</f>
        <v/>
      </c>
      <c r="BW5">
        <f>BDS("KEYS US Equity","SUPPLY_CHAIN_CUSTOMERS_FULL_DATA")</f>
        <v/>
      </c>
      <c r="CM5">
        <f>BDS("ACH US Equity","SUPPLY_CHAIN_SUPPLIERS_FULL_DATA")</f>
        <v/>
      </c>
      <c r="DA5">
        <f>BDS("ACH US Equity","SUPPLY_CHAIN_CUSTOMERS_FULL_DATA")</f>
        <v/>
      </c>
      <c r="DQ5">
        <f>BDS("ADBE US Equity","SUPPLY_CHAIN_SUPPLIERS_FULL_DATA")</f>
        <v/>
      </c>
      <c r="EE5">
        <f>BDS("ADBE US Equity","SUPPLY_CHAIN_CUSTOMERS_FULL_DATA")</f>
        <v/>
      </c>
      <c r="EU5">
        <f>BDS("9876552D US Equity","SUPPLY_CHAIN_SUPPLIERS_FULL_DATA")</f>
        <v/>
      </c>
      <c r="FI5">
        <f>BDS("9876552D US Equity","SUPPLY_CHAIN_CUSTOMERS_FULL_DATA")</f>
        <v/>
      </c>
      <c r="FY5">
        <f>BDS("GMH US Equity","SUPPLY_CHAIN_SUPPLIERS_FULL_DATA")</f>
        <v/>
      </c>
      <c r="GM5">
        <f>BDS("GMH US Equity","SUPPLY_CHAIN_CUSTOMERS_FULL_DATA")</f>
        <v/>
      </c>
      <c r="HC5">
        <f>BDS("LPNT US Equity","SUPPLY_CHAIN_SUPPLIERS_FULL_DATA")</f>
        <v/>
      </c>
      <c r="HQ5">
        <f>BDS("LPNT US Equity","SUPPLY_CHAIN_CUSTOMERS_FULL_DATA")</f>
        <v/>
      </c>
      <c r="IG5">
        <f>BDS("3867693Z US Equity","SUPPLY_CHAIN_SUPPLIERS_FULL_DATA")</f>
        <v/>
      </c>
      <c r="IU5">
        <f>BDS("3867693Z US Equity","SUPPLY_CHAIN_CUSTOMERS_FULL_DATA")</f>
        <v/>
      </c>
      <c r="JK5">
        <f>BDS("BBWI US Equity","SUPPLY_CHAIN_SUPPLIERS_FULL_DATA")</f>
        <v/>
      </c>
      <c r="JY5">
        <f>BDS("BBWI US Equity","SUPPLY_CHAIN_CUSTOMERS_FULL_DATA")</f>
        <v/>
      </c>
      <c r="KO5">
        <f>BDS("CSCO US Equity","SUPPLY_CHAIN_SUPPLIERS_FULL_DATA")</f>
        <v/>
      </c>
      <c r="LC5">
        <f>BDS("CSCO US Equity","SUPPLY_CHAIN_CUSTOMERS_FULL_DATA")</f>
        <v/>
      </c>
      <c r="LS5">
        <f>BDS("AGN US Equity","SUPPLY_CHAIN_SUPPLIERS_FULL_DATA")</f>
        <v/>
      </c>
      <c r="MG5">
        <f>BDS("AGN US Equity","SUPPLY_CHAIN_CUSTOMERS_FULL_DATA")</f>
        <v/>
      </c>
      <c r="MW5">
        <f>BDS("ELNK US Equity","SUPPLY_CHAIN_SUPPLIERS_FULL_DATA")</f>
        <v/>
      </c>
      <c r="NK5">
        <f>BDS("ELNK US Equity","SUPPLY_CHAIN_CUSTOMERS_FULL_DATA")</f>
        <v/>
      </c>
      <c r="OA5">
        <f>BDS("2309719Q US Equity","SUPPLY_CHAIN_SUPPLIERS_FULL_DATA")</f>
        <v/>
      </c>
      <c r="OO5">
        <f>BDS("2309719Q US Equity","SUPPLY_CHAIN_CUSTOMERS_FULL_DATA")</f>
        <v/>
      </c>
      <c r="PE5">
        <f>BDS("HPQ US Equity","SUPPLY_CHAIN_SUPPLIERS_FULL_DATA")</f>
        <v/>
      </c>
      <c r="PS5">
        <f>BDS("HPQ US Equity","SUPPLY_CHAIN_CUSTOMERS_FULL_DATA")</f>
        <v/>
      </c>
      <c r="QI5">
        <f>BDS("MRK US Equity","SUPPLY_CHAIN_SUPPLIERS_FULL_DATA")</f>
        <v/>
      </c>
      <c r="QW5">
        <f>BDS("MRK US Equity","SUPPLY_CHAIN_CUSTOMERS_FULL_DATA")</f>
        <v/>
      </c>
      <c r="RM5">
        <f>BDS("CCMP US Equity","SUPPLY_CHAIN_SUPPLIERS_FULL_DATA")</f>
        <v/>
      </c>
      <c r="SA5">
        <f>BDS("CCMP US Equity","SUPPLY_CHAIN_CUSTOMERS_FULL_DATA")</f>
        <v/>
      </c>
      <c r="SQ5">
        <f>BDS("2556796D US Equity","SUPPLY_CHAIN_SUPPLIERS_FULL_DATA")</f>
        <v/>
      </c>
      <c r="TE5">
        <f>BDS("2556796D US Equity","SUPPLY_CHAIN_CUSTOMERS_FULL_DATA")</f>
        <v/>
      </c>
      <c r="TU5">
        <f>BDS("XEC US Equity","SUPPLY_CHAIN_SUPPLIERS_FULL_DATA")</f>
        <v/>
      </c>
      <c r="UI5">
        <f>BDS("XEC US Equity","SUPPLY_CHAIN_CUSTOMERS_FULL_DATA")</f>
        <v/>
      </c>
      <c r="UY5">
        <f>BDS("SVU US Equity","SUPPLY_CHAIN_SUPPLIERS_FULL_DATA")</f>
        <v/>
      </c>
      <c r="VM5">
        <f>BDS("SVU US Equity","SUPPLY_CHAIN_CUSTOMERS_FULL_DATA")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1101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1102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1103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1104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1105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1106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1107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1108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1109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1110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1111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1112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1113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1114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1115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1116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1117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1118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1119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1120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 US Equity</t>
        </is>
      </c>
      <c r="AE2" s="3" t="inlineStr">
        <is>
          <t>PVR US Equity</t>
        </is>
      </c>
      <c r="BI2" s="3" t="inlineStr">
        <is>
          <t>FNFG US Equity</t>
        </is>
      </c>
      <c r="CM2" s="3" t="inlineStr">
        <is>
          <t>AF US Equity</t>
        </is>
      </c>
      <c r="DQ2" s="3" t="inlineStr">
        <is>
          <t>GD US Equity</t>
        </is>
      </c>
      <c r="EU2" s="3" t="inlineStr">
        <is>
          <t>1859004D US Equity</t>
        </is>
      </c>
      <c r="FY2" s="3" t="inlineStr">
        <is>
          <t>CAH US Equity</t>
        </is>
      </c>
      <c r="HC2" s="3" t="inlineStr">
        <is>
          <t>LEE US Equity</t>
        </is>
      </c>
      <c r="IG2" s="3" t="inlineStr">
        <is>
          <t>1825471D US Equity</t>
        </is>
      </c>
      <c r="JK2" s="3" t="inlineStr">
        <is>
          <t>9995522D US Equity</t>
        </is>
      </c>
      <c r="KO2" s="3" t="inlineStr">
        <is>
          <t>MHK US Equity</t>
        </is>
      </c>
      <c r="LS2" s="3" t="inlineStr">
        <is>
          <t>1986522D US Equity</t>
        </is>
      </c>
      <c r="MW2" s="3" t="inlineStr">
        <is>
          <t>QTRN US Equity</t>
        </is>
      </c>
      <c r="OA2" s="3" t="inlineStr">
        <is>
          <t>ITG US Equity</t>
        </is>
      </c>
      <c r="PE2" s="3" t="inlineStr">
        <is>
          <t>L US Equity</t>
        </is>
      </c>
      <c r="QI2" s="3" t="inlineStr">
        <is>
          <t>HSY US Equity</t>
        </is>
      </c>
      <c r="RM2" s="3" t="inlineStr">
        <is>
          <t>GOOGL US Equity</t>
        </is>
      </c>
      <c r="SQ2" s="3" t="inlineStr">
        <is>
          <t>SSNC US Equity</t>
        </is>
      </c>
      <c r="TU2" s="3" t="inlineStr">
        <is>
          <t>WSFS US Equity</t>
        </is>
      </c>
      <c r="UY2" s="3" t="inlineStr">
        <is>
          <t>MFNXQ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 US Equity","SUPPLY_CHAIN_SUPPLIERS_FULL_DATA")</f>
        <v/>
      </c>
      <c r="O5">
        <f>BDS("M US Equity","SUPPLY_CHAIN_CUSTOMERS_FULL_DATA")</f>
        <v/>
      </c>
      <c r="AE5">
        <f>BDS("PVR US Equity","SUPPLY_CHAIN_SUPPLIERS_FULL_DATA")</f>
        <v/>
      </c>
      <c r="AS5">
        <f>BDS("PVR US Equity","SUPPLY_CHAIN_CUSTOMERS_FULL_DATA")</f>
        <v/>
      </c>
      <c r="BI5">
        <f>BDS("FNFG US Equity","SUPPLY_CHAIN_SUPPLIERS_FULL_DATA")</f>
        <v/>
      </c>
      <c r="BW5">
        <f>BDS("FNFG US Equity","SUPPLY_CHAIN_CUSTOMERS_FULL_DATA")</f>
        <v/>
      </c>
      <c r="CM5">
        <f>BDS("AF US Equity","SUPPLY_CHAIN_SUPPLIERS_FULL_DATA")</f>
        <v/>
      </c>
      <c r="DA5">
        <f>BDS("AF US Equity","SUPPLY_CHAIN_CUSTOMERS_FULL_DATA")</f>
        <v/>
      </c>
      <c r="DQ5">
        <f>BDS("GD US Equity","SUPPLY_CHAIN_SUPPLIERS_FULL_DATA")</f>
        <v/>
      </c>
      <c r="EE5">
        <f>BDS("GD US Equity","SUPPLY_CHAIN_CUSTOMERS_FULL_DATA")</f>
        <v/>
      </c>
      <c r="EU5">
        <f>BDS("1859004D US Equity","SUPPLY_CHAIN_SUPPLIERS_FULL_DATA")</f>
        <v/>
      </c>
      <c r="FI5">
        <f>BDS("1859004D US Equity","SUPPLY_CHAIN_CUSTOMERS_FULL_DATA")</f>
        <v/>
      </c>
      <c r="FY5">
        <f>BDS("CAH US Equity","SUPPLY_CHAIN_SUPPLIERS_FULL_DATA")</f>
        <v/>
      </c>
      <c r="GM5">
        <f>BDS("CAH US Equity","SUPPLY_CHAIN_CUSTOMERS_FULL_DATA")</f>
        <v/>
      </c>
      <c r="HC5">
        <f>BDS("LEE US Equity","SUPPLY_CHAIN_SUPPLIERS_FULL_DATA")</f>
        <v/>
      </c>
      <c r="HQ5">
        <f>BDS("LEE US Equity","SUPPLY_CHAIN_CUSTOMERS_FULL_DATA")</f>
        <v/>
      </c>
      <c r="IG5">
        <f>BDS("1825471D US Equity","SUPPLY_CHAIN_SUPPLIERS_FULL_DATA")</f>
        <v/>
      </c>
      <c r="IU5">
        <f>BDS("1825471D US Equity","SUPPLY_CHAIN_CUSTOMERS_FULL_DATA")</f>
        <v/>
      </c>
      <c r="JK5">
        <f>BDS("9995522D US Equity","SUPPLY_CHAIN_SUPPLIERS_FULL_DATA")</f>
        <v/>
      </c>
      <c r="JY5">
        <f>BDS("9995522D US Equity","SUPPLY_CHAIN_CUSTOMERS_FULL_DATA")</f>
        <v/>
      </c>
      <c r="KO5">
        <f>BDS("MHK US Equity","SUPPLY_CHAIN_SUPPLIERS_FULL_DATA")</f>
        <v/>
      </c>
      <c r="LC5">
        <f>BDS("MHK US Equity","SUPPLY_CHAIN_CUSTOMERS_FULL_DATA")</f>
        <v/>
      </c>
      <c r="LS5">
        <f>BDS("1986522D US Equity","SUPPLY_CHAIN_SUPPLIERS_FULL_DATA")</f>
        <v/>
      </c>
      <c r="MG5">
        <f>BDS("1986522D US Equity","SUPPLY_CHAIN_CUSTOMERS_FULL_DATA")</f>
        <v/>
      </c>
      <c r="MW5">
        <f>BDS("QTRN US Equity","SUPPLY_CHAIN_SUPPLIERS_FULL_DATA")</f>
        <v/>
      </c>
      <c r="NK5">
        <f>BDS("QTRN US Equity","SUPPLY_CHAIN_CUSTOMERS_FULL_DATA")</f>
        <v/>
      </c>
      <c r="OA5">
        <f>BDS("ITG US Equity","SUPPLY_CHAIN_SUPPLIERS_FULL_DATA")</f>
        <v/>
      </c>
      <c r="OO5">
        <f>BDS("ITG US Equity","SUPPLY_CHAIN_CUSTOMERS_FULL_DATA")</f>
        <v/>
      </c>
      <c r="PE5">
        <f>BDS("L US Equity","SUPPLY_CHAIN_SUPPLIERS_FULL_DATA")</f>
        <v/>
      </c>
      <c r="PS5">
        <f>BDS("L US Equity","SUPPLY_CHAIN_CUSTOMERS_FULL_DATA")</f>
        <v/>
      </c>
      <c r="QI5">
        <f>BDS("HSY US Equity","SUPPLY_CHAIN_SUPPLIERS_FULL_DATA")</f>
        <v/>
      </c>
      <c r="QW5">
        <f>BDS("HSY US Equity","SUPPLY_CHAIN_CUSTOMERS_FULL_DATA")</f>
        <v/>
      </c>
      <c r="RM5">
        <f>BDS("GOOGL US Equity","SUPPLY_CHAIN_SUPPLIERS_FULL_DATA")</f>
        <v/>
      </c>
      <c r="SA5">
        <f>BDS("GOOGL US Equity","SUPPLY_CHAIN_CUSTOMERS_FULL_DATA")</f>
        <v/>
      </c>
      <c r="SQ5">
        <f>BDS("SSNC US Equity","SUPPLY_CHAIN_SUPPLIERS_FULL_DATA")</f>
        <v/>
      </c>
      <c r="TE5">
        <f>BDS("SSNC US Equity","SUPPLY_CHAIN_CUSTOMERS_FULL_DATA")</f>
        <v/>
      </c>
      <c r="TU5">
        <f>BDS("WSFS US Equity","SUPPLY_CHAIN_SUPPLIERS_FULL_DATA")</f>
        <v/>
      </c>
      <c r="UI5">
        <f>BDS("WSFS US Equity","SUPPLY_CHAIN_CUSTOMERS_FULL_DATA")</f>
        <v/>
      </c>
      <c r="UY5">
        <f>BDS("MFNXQ US Equity","SUPPLY_CHAIN_SUPPLIERS_FULL_DATA")</f>
        <v/>
      </c>
      <c r="VM5">
        <f>BDS("MFNXQ US Equity","SUPPLY_CHAIN_CUSTOMERS_FULL_DATA")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1121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1122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1123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1124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1125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1126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1127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1128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1129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1130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1131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1132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1133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1134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1135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1136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1137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1138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1139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1140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MHS US Equity</t>
        </is>
      </c>
      <c r="BI2" s="3" t="inlineStr">
        <is>
          <t>TLRDQ US Equity</t>
        </is>
      </c>
      <c r="CM2" s="3" t="inlineStr">
        <is>
          <t>HPQ US Equity</t>
        </is>
      </c>
      <c r="DQ2" s="3" t="inlineStr">
        <is>
          <t>RFMD US Equity</t>
        </is>
      </c>
      <c r="EU2" s="3" t="inlineStr">
        <is>
          <t>THRY US Equity</t>
        </is>
      </c>
      <c r="FY2" s="3" t="inlineStr">
        <is>
          <t>LLY US Equity</t>
        </is>
      </c>
      <c r="HC2" s="3" t="inlineStr">
        <is>
          <t>SANM US Equity</t>
        </is>
      </c>
      <c r="IG2" s="3" t="inlineStr">
        <is>
          <t>AA US Equity</t>
        </is>
      </c>
      <c r="JK2" s="3" t="inlineStr">
        <is>
          <t>YELLQ US Equity</t>
        </is>
      </c>
      <c r="KO2" s="3" t="inlineStr">
        <is>
          <t>ORCL US Equity</t>
        </is>
      </c>
      <c r="LS2" s="3" t="inlineStr">
        <is>
          <t>9876456D US Equity</t>
        </is>
      </c>
      <c r="MW2" s="3" t="inlineStr">
        <is>
          <t>UCOMA US Equity</t>
        </is>
      </c>
      <c r="OA2" s="3" t="inlineStr">
        <is>
          <t>EXE US Equity</t>
        </is>
      </c>
      <c r="PE2" s="3" t="inlineStr">
        <is>
          <t>ICBC US Equity</t>
        </is>
      </c>
      <c r="QI2" s="3" t="inlineStr">
        <is>
          <t>WBMD US Equity</t>
        </is>
      </c>
      <c r="RM2" s="3" t="inlineStr">
        <is>
          <t>LNWO US Equity</t>
        </is>
      </c>
      <c r="SQ2" s="3" t="inlineStr">
        <is>
          <t>TRUL CN Equity</t>
        </is>
      </c>
      <c r="TU2" s="3" t="inlineStr">
        <is>
          <t>WAMUQ US Equity</t>
        </is>
      </c>
      <c r="UY2" s="3" t="inlineStr">
        <is>
          <t>2258717D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BDS("MHS US Equity","SUPPLY_CHAIN_SUPPLIERS_FULL_DATA")</f>
        <v/>
      </c>
      <c r="AS5">
        <f>BDS("MHS US Equity","SUPPLY_CHAIN_CUSTOMERS_FULL_DATA")</f>
        <v/>
      </c>
      <c r="BI5">
        <f>BDS("TLRDQ US Equity","SUPPLY_CHAIN_SUPPLIERS_FULL_DATA")</f>
        <v/>
      </c>
      <c r="BW5">
        <f>BDS("TLRDQ US Equity","SUPPLY_CHAIN_CUSTOMERS_FULL_DATA")</f>
        <v/>
      </c>
      <c r="CM5">
        <f>BDS("HPQ US Equity","SUPPLY_CHAIN_SUPPLIERS_FULL_DATA")</f>
        <v/>
      </c>
      <c r="DA5">
        <f>BDS("HPQ US Equity","SUPPLY_CHAIN_CUSTOMERS_FULL_DATA")</f>
        <v/>
      </c>
      <c r="DQ5">
        <f>BDS("RFMD US Equity","SUPPLY_CHAIN_SUPPLIERS_FULL_DATA")</f>
        <v/>
      </c>
      <c r="EE5">
        <f>BDS("RFMD US Equity","SUPPLY_CHAIN_CUSTOMERS_FULL_DATA")</f>
        <v/>
      </c>
      <c r="EU5">
        <f>BDS("THRY US Equity","SUPPLY_CHAIN_SUPPLIERS_FULL_DATA")</f>
        <v/>
      </c>
      <c r="FI5">
        <f>BDS("THRY US Equity","SUPPLY_CHAIN_CUSTOMERS_FULL_DATA")</f>
        <v/>
      </c>
      <c r="FY5">
        <f>BDS("LLY US Equity","SUPPLY_CHAIN_SUPPLIERS_FULL_DATA")</f>
        <v/>
      </c>
      <c r="GM5">
        <f>BDS("LLY US Equity","SUPPLY_CHAIN_CUSTOMERS_FULL_DATA")</f>
        <v/>
      </c>
      <c r="HC5">
        <f>BDS("SANM US Equity","SUPPLY_CHAIN_SUPPLIERS_FULL_DATA")</f>
        <v/>
      </c>
      <c r="HQ5">
        <f>BDS("SANM US Equity","SUPPLY_CHAIN_CUSTOMERS_FULL_DATA")</f>
        <v/>
      </c>
      <c r="IG5">
        <f>BDS("AA US Equity","SUPPLY_CHAIN_SUPPLIERS_FULL_DATA")</f>
        <v/>
      </c>
      <c r="IU5">
        <f>BDS("AA US Equity","SUPPLY_CHAIN_CUSTOMERS_FULL_DATA")</f>
        <v/>
      </c>
      <c r="JK5">
        <f>BDS("YELLQ US Equity","SUPPLY_CHAIN_SUPPLIERS_FULL_DATA")</f>
        <v/>
      </c>
      <c r="JY5">
        <f>BDS("YELLQ US Equity","SUPPLY_CHAIN_CUSTOMERS_FULL_DATA")</f>
        <v/>
      </c>
      <c r="KO5">
        <f>BDS("ORCL US Equity","SUPPLY_CHAIN_SUPPLIERS_FULL_DATA")</f>
        <v/>
      </c>
      <c r="LC5">
        <f>BDS("ORCL US Equity","SUPPLY_CHAIN_CUSTOMERS_FULL_DATA")</f>
        <v/>
      </c>
      <c r="LS5">
        <f>BDS("9876456D US Equity","SUPPLY_CHAIN_SUPPLIERS_FULL_DATA")</f>
        <v/>
      </c>
      <c r="MG5">
        <f>BDS("9876456D US Equity","SUPPLY_CHAIN_CUSTOMERS_FULL_DATA")</f>
        <v/>
      </c>
      <c r="MW5">
        <f>BDS("UCOMA US Equity","SUPPLY_CHAIN_SUPPLIERS_FULL_DATA")</f>
        <v/>
      </c>
      <c r="NK5">
        <f>BDS("UCOMA US Equity","SUPPLY_CHAIN_CUSTOMERS_FULL_DATA")</f>
        <v/>
      </c>
      <c r="OA5">
        <f>BDS("EXE US Equity","SUPPLY_CHAIN_SUPPLIERS_FULL_DATA")</f>
        <v/>
      </c>
      <c r="OO5">
        <f>BDS("EXE US Equity","SUPPLY_CHAIN_CUSTOMERS_FULL_DATA")</f>
        <v/>
      </c>
      <c r="PE5">
        <f>BDS("ICBC US Equity","SUPPLY_CHAIN_SUPPLIERS_FULL_DATA")</f>
        <v/>
      </c>
      <c r="PS5">
        <f>BDS("ICBC US Equity","SUPPLY_CHAIN_CUSTOMERS_FULL_DATA")</f>
        <v/>
      </c>
      <c r="QI5">
        <f>BDS("WBMD US Equity","SUPPLY_CHAIN_SUPPLIERS_FULL_DATA")</f>
        <v/>
      </c>
      <c r="QW5">
        <f>BDS("WBMD US Equity","SUPPLY_CHAIN_CUSTOMERS_FULL_DATA")</f>
        <v/>
      </c>
      <c r="RM5">
        <f>BDS("LNWO US Equity","SUPPLY_CHAIN_SUPPLIERS_FULL_DATA")</f>
        <v/>
      </c>
      <c r="SA5">
        <f>BDS("LNWO US Equity","SUPPLY_CHAIN_CUSTOMERS_FULL_DATA")</f>
        <v/>
      </c>
      <c r="SQ5">
        <f>BDS("TRUL CN Equity","SUPPLY_CHAIN_SUPPLIERS_FULL_DATA")</f>
        <v/>
      </c>
      <c r="TE5">
        <f>BDS("TRUL CN Equity","SUPPLY_CHAIN_CUSTOMERS_FULL_DATA")</f>
        <v/>
      </c>
      <c r="TU5">
        <f>BDS("WAMUQ US Equity","SUPPLY_CHAIN_SUPPLIERS_FULL_DATA")</f>
        <v/>
      </c>
      <c r="UI5">
        <f>BDS("WAMUQ US Equity","SUPPLY_CHAIN_CUSTOMERS_FULL_DATA")</f>
        <v/>
      </c>
      <c r="UY5">
        <f>BDS("2258717D US Equity","SUPPLY_CHAIN_SUPPLIERS_FULL_DATA")</f>
        <v/>
      </c>
      <c r="VM5">
        <f>BDS("2258717D US Equity","SUPPLY_CHAIN_CUSTOMERS_FULL_DATA")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1141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1142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1143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1144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1145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1146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1147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1148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1149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1150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1151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1152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1153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1154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1155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1156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1157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1158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1159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1160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CRL US Equity</t>
        </is>
      </c>
      <c r="AE2" s="3" t="inlineStr">
        <is>
          <t>nan Equity</t>
        </is>
      </c>
      <c r="BI2" s="3" t="inlineStr">
        <is>
          <t>WFC US Equity</t>
        </is>
      </c>
      <c r="CM2" s="3" t="inlineStr">
        <is>
          <t>JNY US Equity</t>
        </is>
      </c>
      <c r="DQ2" s="3" t="inlineStr">
        <is>
          <t>1856613D US Equity</t>
        </is>
      </c>
      <c r="EU2" s="3" t="inlineStr">
        <is>
          <t>WEC US Equity</t>
        </is>
      </c>
      <c r="FY2" s="3" t="inlineStr">
        <is>
          <t>nan Equity</t>
        </is>
      </c>
      <c r="HC2" s="3" t="inlineStr">
        <is>
          <t>CNSL US Equity</t>
        </is>
      </c>
      <c r="IG2" s="3" t="inlineStr">
        <is>
          <t>KMPR US Equity</t>
        </is>
      </c>
      <c r="JK2" s="3" t="inlineStr">
        <is>
          <t>HTV US Equity</t>
        </is>
      </c>
      <c r="KO2" s="3" t="inlineStr">
        <is>
          <t>BKD US Equity</t>
        </is>
      </c>
      <c r="LS2" s="3" t="inlineStr">
        <is>
          <t>3692470Q US Equity</t>
        </is>
      </c>
      <c r="MW2" s="3" t="inlineStr">
        <is>
          <t>EXR US Equity</t>
        </is>
      </c>
      <c r="OA2" s="3" t="inlineStr">
        <is>
          <t>1856613D US Equity</t>
        </is>
      </c>
      <c r="PE2" s="3" t="inlineStr">
        <is>
          <t>TXT US Equity</t>
        </is>
      </c>
      <c r="QI2" s="3" t="inlineStr">
        <is>
          <t>1919709D US Equity</t>
        </is>
      </c>
      <c r="RM2" s="3" t="inlineStr">
        <is>
          <t>CLP US Equity</t>
        </is>
      </c>
      <c r="SQ2" s="3" t="inlineStr">
        <is>
          <t>VZ US Equity</t>
        </is>
      </c>
      <c r="TU2" s="3" t="inlineStr">
        <is>
          <t>A US Equity</t>
        </is>
      </c>
      <c r="UY2" s="3" t="inlineStr">
        <is>
          <t>nan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BDS("CRL US Equity","SUPPLY_CHAIN_SUPPLIERS_FULL_DATA")</f>
        <v/>
      </c>
      <c r="O5">
        <f>BDS("CRL US Equity","SUPPLY_CHAIN_CUSTOMERS_FULL_DATA")</f>
        <v/>
      </c>
      <c r="AE5">
        <f>BDS("nan Equity","SUPPLY_CHAIN_SUPPLIERS_FULL_DATA")</f>
        <v/>
      </c>
      <c r="AS5">
        <f>BDS("nan Equity","SUPPLY_CHAIN_CUSTOMERS_FULL_DATA")</f>
        <v/>
      </c>
      <c r="BI5">
        <f>BDS("WFC US Equity","SUPPLY_CHAIN_SUPPLIERS_FULL_DATA")</f>
        <v/>
      </c>
      <c r="BW5">
        <f>BDS("WFC US Equity","SUPPLY_CHAIN_CUSTOMERS_FULL_DATA")</f>
        <v/>
      </c>
      <c r="CM5">
        <f>BDS("JNY US Equity","SUPPLY_CHAIN_SUPPLIERS_FULL_DATA")</f>
        <v/>
      </c>
      <c r="DA5">
        <f>BDS("JNY US Equity","SUPPLY_CHAIN_CUSTOMERS_FULL_DATA")</f>
        <v/>
      </c>
      <c r="DQ5">
        <f>BDS("1856613D US Equity","SUPPLY_CHAIN_SUPPLIERS_FULL_DATA")</f>
        <v/>
      </c>
      <c r="EE5">
        <f>BDS("1856613D US Equity","SUPPLY_CHAIN_CUSTOMERS_FULL_DATA")</f>
        <v/>
      </c>
      <c r="EU5">
        <f>BDS("WEC US Equity","SUPPLY_CHAIN_SUPPLIERS_FULL_DATA")</f>
        <v/>
      </c>
      <c r="FI5">
        <f>BDS("WEC US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BDS("CNSL US Equity","SUPPLY_CHAIN_SUPPLIERS_FULL_DATA")</f>
        <v/>
      </c>
      <c r="HQ5">
        <f>BDS("CNSL US Equity","SUPPLY_CHAIN_CUSTOMERS_FULL_DATA")</f>
        <v/>
      </c>
      <c r="IG5">
        <f>BDS("KMPR US Equity","SUPPLY_CHAIN_SUPPLIERS_FULL_DATA")</f>
        <v/>
      </c>
      <c r="IU5">
        <f>BDS("KMPR US Equity","SUPPLY_CHAIN_CUSTOMERS_FULL_DATA")</f>
        <v/>
      </c>
      <c r="JK5">
        <f>BDS("HTV US Equity","SUPPLY_CHAIN_SUPPLIERS_FULL_DATA")</f>
        <v/>
      </c>
      <c r="JY5">
        <f>BDS("HTV US Equity","SUPPLY_CHAIN_CUSTOMERS_FULL_DATA")</f>
        <v/>
      </c>
      <c r="KO5">
        <f>BDS("BKD US Equity","SUPPLY_CHAIN_SUPPLIERS_FULL_DATA")</f>
        <v/>
      </c>
      <c r="LC5">
        <f>BDS("BKD US Equity","SUPPLY_CHAIN_CUSTOMERS_FULL_DATA")</f>
        <v/>
      </c>
      <c r="LS5">
        <f>BDS("3692470Q US Equity","SUPPLY_CHAIN_SUPPLIERS_FULL_DATA")</f>
        <v/>
      </c>
      <c r="MG5">
        <f>BDS("3692470Q US Equity","SUPPLY_CHAIN_CUSTOMERS_FULL_DATA")</f>
        <v/>
      </c>
      <c r="MW5">
        <f>BDS("EXR US Equity","SUPPLY_CHAIN_SUPPLIERS_FULL_DATA")</f>
        <v/>
      </c>
      <c r="NK5">
        <f>BDS("EXR US Equity","SUPPLY_CHAIN_CUSTOMERS_FULL_DATA")</f>
        <v/>
      </c>
      <c r="OA5">
        <f>BDS("1856613D US Equity","SUPPLY_CHAIN_SUPPLIERS_FULL_DATA")</f>
        <v/>
      </c>
      <c r="OO5">
        <f>BDS("1856613D US Equity","SUPPLY_CHAIN_CUSTOMERS_FULL_DATA")</f>
        <v/>
      </c>
      <c r="PE5">
        <f>BDS("TXT US Equity","SUPPLY_CHAIN_SUPPLIERS_FULL_DATA")</f>
        <v/>
      </c>
      <c r="PS5">
        <f>BDS("TXT US Equity","SUPPLY_CHAIN_CUSTOMERS_FULL_DATA")</f>
        <v/>
      </c>
      <c r="QI5">
        <f>BDS("1919709D US Equity","SUPPLY_CHAIN_SUPPLIERS_FULL_DATA")</f>
        <v/>
      </c>
      <c r="QW5">
        <f>BDS("1919709D US Equity","SUPPLY_CHAIN_CUSTOMERS_FULL_DATA")</f>
        <v/>
      </c>
      <c r="RM5">
        <f>BDS("CLP US Equity","SUPPLY_CHAIN_SUPPLIERS_FULL_DATA")</f>
        <v/>
      </c>
      <c r="SA5">
        <f>BDS("CLP US Equity","SUPPLY_CHAIN_CUSTOMERS_FULL_DATA")</f>
        <v/>
      </c>
      <c r="SQ5">
        <f>BDS("VZ US Equity","SUPPLY_CHAIN_SUPPLIERS_FULL_DATA")</f>
        <v/>
      </c>
      <c r="TE5">
        <f>BDS("VZ US Equity","SUPPLY_CHAIN_CUSTOMERS_FULL_DATA")</f>
        <v/>
      </c>
      <c r="TU5">
        <f>BDS("A US Equity","SUPPLY_CHAIN_SUPPLIERS_FULL_DATA")</f>
        <v/>
      </c>
      <c r="UI5">
        <f>BDS("A US Equity","SUPPLY_CHAIN_CUSTOMERS_FULL_DATA")</f>
        <v/>
      </c>
      <c r="UY5">
        <f>BDS("nan Equity","SUPPLY_CHAIN_SUPPLIERS_FULL_DATA")</f>
        <v/>
      </c>
      <c r="VM5">
        <f>BDS("nan Equity","SUPPLY_CHAIN_CUSTOMERS_FULL_DATA")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1161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1162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1163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1164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1165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1166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1167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1168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1169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1170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1171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1172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1173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1174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1175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1176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1177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1178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1179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1180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CIVI US Equity</t>
        </is>
      </c>
      <c r="AE2" s="3" t="inlineStr">
        <is>
          <t>SCI US Equity</t>
        </is>
      </c>
      <c r="BI2" s="3" t="inlineStr">
        <is>
          <t>HWC US Equity</t>
        </is>
      </c>
      <c r="CM2" s="3" t="inlineStr">
        <is>
          <t>FNB US Equity</t>
        </is>
      </c>
      <c r="DQ2" s="3" t="inlineStr">
        <is>
          <t>EBAY US Equity</t>
        </is>
      </c>
      <c r="EU2" s="3" t="inlineStr">
        <is>
          <t>3029830Q US Equity</t>
        </is>
      </c>
      <c r="FY2" s="3" t="inlineStr">
        <is>
          <t>ATBA AV Equity</t>
        </is>
      </c>
      <c r="HC2" s="3" t="inlineStr">
        <is>
          <t>611214Q US Equity</t>
        </is>
      </c>
      <c r="IG2" s="3" t="inlineStr">
        <is>
          <t>PTEN US Equity</t>
        </is>
      </c>
      <c r="JK2" s="3" t="inlineStr">
        <is>
          <t>AMH US Equity</t>
        </is>
      </c>
      <c r="KO2" s="3" t="inlineStr">
        <is>
          <t>DRI US Equity</t>
        </is>
      </c>
      <c r="LS2" s="3" t="inlineStr">
        <is>
          <t>CAR US Equity</t>
        </is>
      </c>
      <c r="MW2" s="3" t="inlineStr">
        <is>
          <t>PCH US Equity</t>
        </is>
      </c>
      <c r="OA2" s="3" t="inlineStr">
        <is>
          <t>8394653Q US Equity</t>
        </is>
      </c>
      <c r="PE2" s="3" t="inlineStr">
        <is>
          <t>C US Equity</t>
        </is>
      </c>
      <c r="QI2" s="3" t="inlineStr">
        <is>
          <t>HIG US Equity</t>
        </is>
      </c>
      <c r="RM2" s="3" t="inlineStr">
        <is>
          <t>GLW US Equity</t>
        </is>
      </c>
      <c r="SQ2" s="3" t="inlineStr">
        <is>
          <t>SNX US Equity</t>
        </is>
      </c>
      <c r="TU2" s="3" t="inlineStr">
        <is>
          <t>SYK US Equity</t>
        </is>
      </c>
      <c r="UY2" s="3" t="inlineStr">
        <is>
          <t>2207158D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BDS("CIVI US Equity","SUPPLY_CHAIN_SUPPLIERS_FULL_DATA")</f>
        <v/>
      </c>
      <c r="O5">
        <f>BDS("CIVI US Equity","SUPPLY_CHAIN_CUSTOMERS_FULL_DATA")</f>
        <v/>
      </c>
      <c r="AE5">
        <f>BDS("SCI US Equity","SUPPLY_CHAIN_SUPPLIERS_FULL_DATA")</f>
        <v/>
      </c>
      <c r="AS5">
        <f>BDS("SCI US Equity","SUPPLY_CHAIN_CUSTOMERS_FULL_DATA")</f>
        <v/>
      </c>
      <c r="BI5">
        <f>BDS("HWC US Equity","SUPPLY_CHAIN_SUPPLIERS_FULL_DATA")</f>
        <v/>
      </c>
      <c r="BW5">
        <f>BDS("HWC US Equity","SUPPLY_CHAIN_CUSTOMERS_FULL_DATA")</f>
        <v/>
      </c>
      <c r="CM5">
        <f>BDS("FNB US Equity","SUPPLY_CHAIN_SUPPLIERS_FULL_DATA")</f>
        <v/>
      </c>
      <c r="DA5">
        <f>BDS("FNB US Equity","SUPPLY_CHAIN_CUSTOMERS_FULL_DATA")</f>
        <v/>
      </c>
      <c r="DQ5">
        <f>BDS("EBAY US Equity","SUPPLY_CHAIN_SUPPLIERS_FULL_DATA")</f>
        <v/>
      </c>
      <c r="EE5">
        <f>BDS("EBAY US Equity","SUPPLY_CHAIN_CUSTOMERS_FULL_DATA")</f>
        <v/>
      </c>
      <c r="EU5">
        <f>BDS("3029830Q US Equity","SUPPLY_CHAIN_SUPPLIERS_FULL_DATA")</f>
        <v/>
      </c>
      <c r="FI5">
        <f>BDS("3029830Q US Equity","SUPPLY_CHAIN_CUSTOMERS_FULL_DATA")</f>
        <v/>
      </c>
      <c r="FY5">
        <f>BDS("ATBA AV Equity","SUPPLY_CHAIN_SUPPLIERS_FULL_DATA")</f>
        <v/>
      </c>
      <c r="GM5">
        <f>BDS("ATBA AV Equity","SUPPLY_CHAIN_CUSTOMERS_FULL_DATA")</f>
        <v/>
      </c>
      <c r="HC5">
        <f>BDS("611214Q US Equity","SUPPLY_CHAIN_SUPPLIERS_FULL_DATA")</f>
        <v/>
      </c>
      <c r="HQ5">
        <f>BDS("611214Q US Equity","SUPPLY_CHAIN_CUSTOMERS_FULL_DATA")</f>
        <v/>
      </c>
      <c r="IG5">
        <f>BDS("PTEN US Equity","SUPPLY_CHAIN_SUPPLIERS_FULL_DATA")</f>
        <v/>
      </c>
      <c r="IU5">
        <f>BDS("PTEN US Equity","SUPPLY_CHAIN_CUSTOMERS_FULL_DATA")</f>
        <v/>
      </c>
      <c r="JK5">
        <f>BDS("AMH US Equity","SUPPLY_CHAIN_SUPPLIERS_FULL_DATA")</f>
        <v/>
      </c>
      <c r="JY5">
        <f>BDS("AMH US Equity","SUPPLY_CHAIN_CUSTOMERS_FULL_DATA")</f>
        <v/>
      </c>
      <c r="KO5">
        <f>BDS("DRI US Equity","SUPPLY_CHAIN_SUPPLIERS_FULL_DATA")</f>
        <v/>
      </c>
      <c r="LC5">
        <f>BDS("DRI US Equity","SUPPLY_CHAIN_CUSTOMERS_FULL_DATA")</f>
        <v/>
      </c>
      <c r="LS5">
        <f>BDS("CAR US Equity","SUPPLY_CHAIN_SUPPLIERS_FULL_DATA")</f>
        <v/>
      </c>
      <c r="MG5">
        <f>BDS("CAR US Equity","SUPPLY_CHAIN_CUSTOMERS_FULL_DATA")</f>
        <v/>
      </c>
      <c r="MW5">
        <f>BDS("PCH US Equity","SUPPLY_CHAIN_SUPPLIERS_FULL_DATA")</f>
        <v/>
      </c>
      <c r="NK5">
        <f>BDS("PCH US Equity","SUPPLY_CHAIN_CUSTOMERS_FULL_DATA")</f>
        <v/>
      </c>
      <c r="OA5">
        <f>BDS("8394653Q US Equity","SUPPLY_CHAIN_SUPPLIERS_FULL_DATA")</f>
        <v/>
      </c>
      <c r="OO5">
        <f>BDS("8394653Q US Equity","SUPPLY_CHAIN_CUSTOMERS_FULL_DATA")</f>
        <v/>
      </c>
      <c r="PE5">
        <f>BDS("C US Equity","SUPPLY_CHAIN_SUPPLIERS_FULL_DATA")</f>
        <v/>
      </c>
      <c r="PS5">
        <f>BDS("C US Equity","SUPPLY_CHAIN_CUSTOMERS_FULL_DATA")</f>
        <v/>
      </c>
      <c r="QI5">
        <f>BDS("HIG US Equity","SUPPLY_CHAIN_SUPPLIERS_FULL_DATA")</f>
        <v/>
      </c>
      <c r="QW5">
        <f>BDS("HIG US Equity","SUPPLY_CHAIN_CUSTOMERS_FULL_DATA")</f>
        <v/>
      </c>
      <c r="RM5">
        <f>BDS("GLW US Equity","SUPPLY_CHAIN_SUPPLIERS_FULL_DATA")</f>
        <v/>
      </c>
      <c r="SA5">
        <f>BDS("GLW US Equity","SUPPLY_CHAIN_CUSTOMERS_FULL_DATA")</f>
        <v/>
      </c>
      <c r="SQ5">
        <f>BDS("SNX US Equity","SUPPLY_CHAIN_SUPPLIERS_FULL_DATA")</f>
        <v/>
      </c>
      <c r="TE5">
        <f>BDS("SNX US Equity","SUPPLY_CHAIN_CUSTOMERS_FULL_DATA")</f>
        <v/>
      </c>
      <c r="TU5">
        <f>BDS("SYK US Equity","SUPPLY_CHAIN_SUPPLIERS_FULL_DATA")</f>
        <v/>
      </c>
      <c r="UI5">
        <f>BDS("SYK US Equity","SUPPLY_CHAIN_CUSTOMERS_FULL_DATA")</f>
        <v/>
      </c>
      <c r="UY5">
        <f>BDS("2207158D US Equity","SUPPLY_CHAIN_SUPPLIERS_FULL_DATA")</f>
        <v/>
      </c>
      <c r="VM5">
        <f>BDS("2207158D US Equity","SUPPLY_CHAIN_CUSTOMERS_FULL_DATA")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1181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1182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1183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1184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1185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1186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1187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1188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1189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1190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1191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1192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1193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1194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1195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1196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1197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1198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1199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1200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ALXN US Equity</t>
        </is>
      </c>
      <c r="AE2" s="3" t="inlineStr">
        <is>
          <t>AMGN US Equity</t>
        </is>
      </c>
      <c r="BI2" s="3" t="inlineStr">
        <is>
          <t>GILD US Equity</t>
        </is>
      </c>
      <c r="CM2" s="3" t="inlineStr">
        <is>
          <t>MMM US Equity</t>
        </is>
      </c>
      <c r="DQ2" s="3" t="inlineStr">
        <is>
          <t>9983490D US Equity</t>
        </is>
      </c>
      <c r="EU2" s="3" t="inlineStr">
        <is>
          <t>VIRT US Equity</t>
        </is>
      </c>
      <c r="FY2" s="3" t="inlineStr">
        <is>
          <t>JNJ US Equity</t>
        </is>
      </c>
      <c r="HC2" s="3" t="inlineStr">
        <is>
          <t>PTEN US Equity</t>
        </is>
      </c>
      <c r="IG2" s="3" t="inlineStr">
        <is>
          <t>OPK US Equity</t>
        </is>
      </c>
      <c r="JK2" s="3" t="inlineStr">
        <is>
          <t>LITE US Equity</t>
        </is>
      </c>
      <c r="KO2" s="3" t="inlineStr">
        <is>
          <t>MNKTQ US Equity</t>
        </is>
      </c>
      <c r="LS2" s="3" t="inlineStr">
        <is>
          <t>WNR US Equity</t>
        </is>
      </c>
      <c r="MW2" s="3" t="inlineStr">
        <is>
          <t>502466Q US Equity</t>
        </is>
      </c>
      <c r="OA2" s="3" t="inlineStr">
        <is>
          <t>0848680D US Equity</t>
        </is>
      </c>
      <c r="PE2" s="3" t="inlineStr">
        <is>
          <t>8251545Q US Equity</t>
        </is>
      </c>
      <c r="QI2" s="3" t="inlineStr">
        <is>
          <t>TXN US Equity</t>
        </is>
      </c>
      <c r="RM2" s="3" t="inlineStr">
        <is>
          <t>362125Q US Equity</t>
        </is>
      </c>
      <c r="SQ2" s="3" t="inlineStr">
        <is>
          <t>AVY US Equity</t>
        </is>
      </c>
      <c r="TU2" s="3" t="inlineStr">
        <is>
          <t>0848680D US Equity</t>
        </is>
      </c>
      <c r="UY2" s="3" t="inlineStr">
        <is>
          <t>PAA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BDS("ALXN US Equity","SUPPLY_CHAIN_SUPPLIERS_FULL_DATA")</f>
        <v/>
      </c>
      <c r="O5">
        <f>BDS("ALXN US Equity","SUPPLY_CHAIN_CUSTOMERS_FULL_DATA")</f>
        <v/>
      </c>
      <c r="AE5">
        <f>BDS("AMGN US Equity","SUPPLY_CHAIN_SUPPLIERS_FULL_DATA")</f>
        <v/>
      </c>
      <c r="AS5">
        <f>BDS("AMGN US Equity","SUPPLY_CHAIN_CUSTOMERS_FULL_DATA")</f>
        <v/>
      </c>
      <c r="BI5">
        <f>BDS("GILD US Equity","SUPPLY_CHAIN_SUPPLIERS_FULL_DATA")</f>
        <v/>
      </c>
      <c r="BW5">
        <f>BDS("GILD US Equity","SUPPLY_CHAIN_CUSTOMERS_FULL_DATA")</f>
        <v/>
      </c>
      <c r="CM5">
        <f>BDS("MMM US Equity","SUPPLY_CHAIN_SUPPLIERS_FULL_DATA")</f>
        <v/>
      </c>
      <c r="DA5">
        <f>BDS("MMM US Equity","SUPPLY_CHAIN_CUSTOMERS_FULL_DATA")</f>
        <v/>
      </c>
      <c r="DQ5">
        <f>BDS("9983490D US Equity","SUPPLY_CHAIN_SUPPLIERS_FULL_DATA")</f>
        <v/>
      </c>
      <c r="EE5">
        <f>BDS("9983490D US Equity","SUPPLY_CHAIN_CUSTOMERS_FULL_DATA")</f>
        <v/>
      </c>
      <c r="EU5">
        <f>BDS("VIRT US Equity","SUPPLY_CHAIN_SUPPLIERS_FULL_DATA")</f>
        <v/>
      </c>
      <c r="FI5">
        <f>BDS("VIRT US Equity","SUPPLY_CHAIN_CUSTOMERS_FULL_DATA")</f>
        <v/>
      </c>
      <c r="FY5">
        <f>BDS("JNJ US Equity","SUPPLY_CHAIN_SUPPLIERS_FULL_DATA")</f>
        <v/>
      </c>
      <c r="GM5">
        <f>BDS("JNJ US Equity","SUPPLY_CHAIN_CUSTOMERS_FULL_DATA")</f>
        <v/>
      </c>
      <c r="HC5">
        <f>BDS("PTEN US Equity","SUPPLY_CHAIN_SUPPLIERS_FULL_DATA")</f>
        <v/>
      </c>
      <c r="HQ5">
        <f>BDS("PTEN US Equity","SUPPLY_CHAIN_CUSTOMERS_FULL_DATA")</f>
        <v/>
      </c>
      <c r="IG5">
        <f>BDS("OPK US Equity","SUPPLY_CHAIN_SUPPLIERS_FULL_DATA")</f>
        <v/>
      </c>
      <c r="IU5">
        <f>BDS("OPK US Equity","SUPPLY_CHAIN_CUSTOMERS_FULL_DATA")</f>
        <v/>
      </c>
      <c r="JK5">
        <f>BDS("LITE US Equity","SUPPLY_CHAIN_SUPPLIERS_FULL_DATA")</f>
        <v/>
      </c>
      <c r="JY5">
        <f>BDS("LITE US Equity","SUPPLY_CHAIN_CUSTOMERS_FULL_DATA")</f>
        <v/>
      </c>
      <c r="KO5">
        <f>BDS("MNKTQ US Equity","SUPPLY_CHAIN_SUPPLIERS_FULL_DATA")</f>
        <v/>
      </c>
      <c r="LC5">
        <f>BDS("MNKTQ US Equity","SUPPLY_CHAIN_CUSTOMERS_FULL_DATA")</f>
        <v/>
      </c>
      <c r="LS5">
        <f>BDS("WNR US Equity","SUPPLY_CHAIN_SUPPLIERS_FULL_DATA")</f>
        <v/>
      </c>
      <c r="MG5">
        <f>BDS("WNR US Equity","SUPPLY_CHAIN_CUSTOMERS_FULL_DATA")</f>
        <v/>
      </c>
      <c r="MW5">
        <f>BDS("502466Q US Equity","SUPPLY_CHAIN_SUPPLIERS_FULL_DATA")</f>
        <v/>
      </c>
      <c r="NK5">
        <f>BDS("502466Q US Equity","SUPPLY_CHAIN_CUSTOMERS_FULL_DATA")</f>
        <v/>
      </c>
      <c r="OA5">
        <f>BDS("0848680D US Equity","SUPPLY_CHAIN_SUPPLIERS_FULL_DATA")</f>
        <v/>
      </c>
      <c r="OO5">
        <f>BDS("0848680D US Equity","SUPPLY_CHAIN_CUSTOMERS_FULL_DATA")</f>
        <v/>
      </c>
      <c r="PE5">
        <f>BDS("8251545Q US Equity","SUPPLY_CHAIN_SUPPLIERS_FULL_DATA")</f>
        <v/>
      </c>
      <c r="PS5">
        <f>BDS("8251545Q US Equity","SUPPLY_CHAIN_CUSTOMERS_FULL_DATA")</f>
        <v/>
      </c>
      <c r="QI5">
        <f>BDS("TXN US Equity","SUPPLY_CHAIN_SUPPLIERS_FULL_DATA")</f>
        <v/>
      </c>
      <c r="QW5">
        <f>BDS("TXN US Equity","SUPPLY_CHAIN_CUSTOMERS_FULL_DATA")</f>
        <v/>
      </c>
      <c r="RM5">
        <f>BDS("362125Q US Equity","SUPPLY_CHAIN_SUPPLIERS_FULL_DATA")</f>
        <v/>
      </c>
      <c r="SA5">
        <f>BDS("362125Q US Equity","SUPPLY_CHAIN_CUSTOMERS_FULL_DATA")</f>
        <v/>
      </c>
      <c r="SQ5">
        <f>BDS("AVY US Equity","SUPPLY_CHAIN_SUPPLIERS_FULL_DATA")</f>
        <v/>
      </c>
      <c r="TE5">
        <f>BDS("AVY US Equity","SUPPLY_CHAIN_CUSTOMERS_FULL_DATA")</f>
        <v/>
      </c>
      <c r="TU5">
        <f>BDS("0848680D US Equity","SUPPLY_CHAIN_SUPPLIERS_FULL_DATA")</f>
        <v/>
      </c>
      <c r="UI5">
        <f>BDS("0848680D US Equity","SUPPLY_CHAIN_CUSTOMERS_FULL_DATA")</f>
        <v/>
      </c>
      <c r="UY5">
        <f>BDS("PAA US Equity","SUPPLY_CHAIN_SUPPLIERS_FULL_DATA")</f>
        <v/>
      </c>
      <c r="VM5">
        <f>BDS("PAA US Equity","SUPPLY_CHAIN_CUSTOMERS_FULL_DATA")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1201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1202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1203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1204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1205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1206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1207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1208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1209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1210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1211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1212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1213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1214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1215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1216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1217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1218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1219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1220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QLGC US Equity</t>
        </is>
      </c>
      <c r="AE2" s="3" t="inlineStr">
        <is>
          <t>UPS US Equity</t>
        </is>
      </c>
      <c r="BI2" s="3" t="inlineStr">
        <is>
          <t>STJ US Equity</t>
        </is>
      </c>
      <c r="CM2" s="3" t="inlineStr">
        <is>
          <t>HPE US Equity</t>
        </is>
      </c>
      <c r="DQ2" s="3" t="inlineStr">
        <is>
          <t>BYI US Equity</t>
        </is>
      </c>
      <c r="EU2" s="3" t="inlineStr">
        <is>
          <t>TVTY US Equity</t>
        </is>
      </c>
      <c r="FY2" s="3" t="inlineStr">
        <is>
          <t>JPM US Equity</t>
        </is>
      </c>
      <c r="HC2" s="3" t="inlineStr">
        <is>
          <t>MSFT US Equity</t>
        </is>
      </c>
      <c r="IG2" s="3" t="inlineStr">
        <is>
          <t>OPITQ US Equity</t>
        </is>
      </c>
      <c r="JK2" s="3" t="inlineStr">
        <is>
          <t>nan Equity</t>
        </is>
      </c>
      <c r="KO2" s="3" t="inlineStr">
        <is>
          <t>FANG US Equity</t>
        </is>
      </c>
      <c r="LS2" s="3" t="inlineStr">
        <is>
          <t>nan Equity</t>
        </is>
      </c>
      <c r="MW2" s="3" t="inlineStr">
        <is>
          <t>JAZZ US Equity</t>
        </is>
      </c>
      <c r="OA2" s="3" t="inlineStr">
        <is>
          <t>ORCL US Equity</t>
        </is>
      </c>
      <c r="PE2" s="3" t="inlineStr">
        <is>
          <t>nan Equity</t>
        </is>
      </c>
      <c r="QI2" s="3" t="inlineStr">
        <is>
          <t>AES US Equity</t>
        </is>
      </c>
      <c r="RM2" s="3" t="inlineStr">
        <is>
          <t>GS US Equity</t>
        </is>
      </c>
      <c r="SQ2" s="3" t="inlineStr">
        <is>
          <t>KND US Equity</t>
        </is>
      </c>
      <c r="TU2" s="3" t="inlineStr">
        <is>
          <t>URI US Equity</t>
        </is>
      </c>
      <c r="UY2" s="3" t="inlineStr">
        <is>
          <t>9990822D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BDS("QLGC US Equity","SUPPLY_CHAIN_SUPPLIERS_FULL_DATA")</f>
        <v/>
      </c>
      <c r="O5">
        <f>BDS("QLGC US Equity","SUPPLY_CHAIN_CUSTOMERS_FULL_DATA")</f>
        <v/>
      </c>
      <c r="AE5">
        <f>BDS("UPS US Equity","SUPPLY_CHAIN_SUPPLIERS_FULL_DATA")</f>
        <v/>
      </c>
      <c r="AS5">
        <f>BDS("UPS US Equity","SUPPLY_CHAIN_CUSTOMERS_FULL_DATA")</f>
        <v/>
      </c>
      <c r="BI5">
        <f>BDS("STJ US Equity","SUPPLY_CHAIN_SUPPLIERS_FULL_DATA")</f>
        <v/>
      </c>
      <c r="BW5">
        <f>BDS("STJ US Equity","SUPPLY_CHAIN_CUSTOMERS_FULL_DATA")</f>
        <v/>
      </c>
      <c r="CM5">
        <f>BDS("HPE US Equity","SUPPLY_CHAIN_SUPPLIERS_FULL_DATA")</f>
        <v/>
      </c>
      <c r="DA5">
        <f>BDS("HPE US Equity","SUPPLY_CHAIN_CUSTOMERS_FULL_DATA")</f>
        <v/>
      </c>
      <c r="DQ5">
        <f>BDS("BYI US Equity","SUPPLY_CHAIN_SUPPLIERS_FULL_DATA")</f>
        <v/>
      </c>
      <c r="EE5">
        <f>BDS("BYI US Equity","SUPPLY_CHAIN_CUSTOMERS_FULL_DATA")</f>
        <v/>
      </c>
      <c r="EU5">
        <f>BDS("TVTY US Equity","SUPPLY_CHAIN_SUPPLIERS_FULL_DATA")</f>
        <v/>
      </c>
      <c r="FI5">
        <f>BDS("TVTY US Equity","SUPPLY_CHAIN_CUSTOMERS_FULL_DATA")</f>
        <v/>
      </c>
      <c r="FY5">
        <f>BDS("JPM US Equity","SUPPLY_CHAIN_SUPPLIERS_FULL_DATA")</f>
        <v/>
      </c>
      <c r="GM5">
        <f>BDS("JPM US Equity","SUPPLY_CHAIN_CUSTOMERS_FULL_DATA")</f>
        <v/>
      </c>
      <c r="HC5">
        <f>BDS("MSFT US Equity","SUPPLY_CHAIN_SUPPLIERS_FULL_DATA")</f>
        <v/>
      </c>
      <c r="HQ5">
        <f>BDS("MSFT US Equity","SUPPLY_CHAIN_CUSTOMERS_FULL_DATA")</f>
        <v/>
      </c>
      <c r="IG5">
        <f>BDS("OPITQ US Equity","SUPPLY_CHAIN_SUPPLIERS_FULL_DATA")</f>
        <v/>
      </c>
      <c r="IU5">
        <f>BDS("OPITQ US Equity","SUPPLY_CHAIN_CUSTOMERS_FULL_DATA")</f>
        <v/>
      </c>
      <c r="JK5">
        <f>BDS("nan Equity","SUPPLY_CHAIN_SUPPLIERS_FULL_DATA")</f>
        <v/>
      </c>
      <c r="JY5">
        <f>BDS("nan Equity","SUPPLY_CHAIN_CUSTOMERS_FULL_DATA")</f>
        <v/>
      </c>
      <c r="KO5">
        <f>BDS("FANG US Equity","SUPPLY_CHAIN_SUPPLIERS_FULL_DATA")</f>
        <v/>
      </c>
      <c r="LC5">
        <f>BDS("FANG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BDS("JAZZ US Equity","SUPPLY_CHAIN_SUPPLIERS_FULL_DATA")</f>
        <v/>
      </c>
      <c r="NK5">
        <f>BDS("JAZZ US Equity","SUPPLY_CHAIN_CUSTOMERS_FULL_DATA")</f>
        <v/>
      </c>
      <c r="OA5">
        <f>BDS("ORCL US Equity","SUPPLY_CHAIN_SUPPLIERS_FULL_DATA")</f>
        <v/>
      </c>
      <c r="OO5">
        <f>BDS("ORCL US Equity","SUPPLY_CHAIN_CUSTOMERS_FULL_DATA")</f>
        <v/>
      </c>
      <c r="PE5">
        <f>BDS("nan Equity","SUPPLY_CHAIN_SUPPLIERS_FULL_DATA")</f>
        <v/>
      </c>
      <c r="PS5">
        <f>BDS("nan Equity","SUPPLY_CHAIN_CUSTOMERS_FULL_DATA")</f>
        <v/>
      </c>
      <c r="QI5">
        <f>BDS("AES US Equity","SUPPLY_CHAIN_SUPPLIERS_FULL_DATA")</f>
        <v/>
      </c>
      <c r="QW5">
        <f>BDS("AES US Equity","SUPPLY_CHAIN_CUSTOMERS_FULL_DATA")</f>
        <v/>
      </c>
      <c r="RM5">
        <f>BDS("GS US Equity","SUPPLY_CHAIN_SUPPLIERS_FULL_DATA")</f>
        <v/>
      </c>
      <c r="SA5">
        <f>BDS("GS US Equity","SUPPLY_CHAIN_CUSTOMERS_FULL_DATA")</f>
        <v/>
      </c>
      <c r="SQ5">
        <f>BDS("KND US Equity","SUPPLY_CHAIN_SUPPLIERS_FULL_DATA")</f>
        <v/>
      </c>
      <c r="TE5">
        <f>BDS("KND US Equity","SUPPLY_CHAIN_CUSTOMERS_FULL_DATA")</f>
        <v/>
      </c>
      <c r="TU5">
        <f>BDS("URI US Equity","SUPPLY_CHAIN_SUPPLIERS_FULL_DATA")</f>
        <v/>
      </c>
      <c r="UI5">
        <f>BDS("URI US Equity","SUPPLY_CHAIN_CUSTOMERS_FULL_DATA")</f>
        <v/>
      </c>
      <c r="UY5">
        <f>BDS("9990822D US Equity","SUPPLY_CHAIN_SUPPLIERS_FULL_DATA")</f>
        <v/>
      </c>
      <c r="VM5">
        <f>BDS("9990822D US Equity","SUPPLY_CHAIN_CUSTOMERS_FULL_DATA")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1221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1222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1223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1224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1225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1226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1227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1228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1229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1230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1231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1232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1233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1234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1235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1236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1237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1238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1239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1240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FITB US Equity</t>
        </is>
      </c>
      <c r="BI2" s="3" t="inlineStr">
        <is>
          <t>9990822D US Equity</t>
        </is>
      </c>
      <c r="CM2" s="3" t="inlineStr">
        <is>
          <t>YELLQ US Equity</t>
        </is>
      </c>
      <c r="DQ2" s="3" t="inlineStr">
        <is>
          <t>GE US Equity</t>
        </is>
      </c>
      <c r="EU2" s="3" t="inlineStr">
        <is>
          <t>SYK US Equity</t>
        </is>
      </c>
      <c r="FY2" s="3" t="inlineStr">
        <is>
          <t>MKSI US Equity</t>
        </is>
      </c>
      <c r="HC2" s="3" t="inlineStr">
        <is>
          <t>GAPTQ US Equity</t>
        </is>
      </c>
      <c r="IG2" s="3" t="inlineStr">
        <is>
          <t>ESRX US Equity</t>
        </is>
      </c>
      <c r="JK2" s="3" t="inlineStr">
        <is>
          <t>2258717D US Equity</t>
        </is>
      </c>
      <c r="KO2" s="3" t="inlineStr">
        <is>
          <t>KG US Equity</t>
        </is>
      </c>
      <c r="LS2" s="3" t="inlineStr">
        <is>
          <t>nan Equity</t>
        </is>
      </c>
      <c r="MW2" s="3" t="inlineStr">
        <is>
          <t>TSS US Equity</t>
        </is>
      </c>
      <c r="OA2" s="3" t="inlineStr">
        <is>
          <t>MMGR US Equity</t>
        </is>
      </c>
      <c r="PE2" s="3" t="inlineStr">
        <is>
          <t>HLX US Equity</t>
        </is>
      </c>
      <c r="QI2" s="3" t="inlineStr">
        <is>
          <t>CLH US Equity</t>
        </is>
      </c>
      <c r="RM2" s="3" t="inlineStr">
        <is>
          <t>1858968D US Equity</t>
        </is>
      </c>
      <c r="SQ2" s="3" t="inlineStr">
        <is>
          <t>MDRX US Equity</t>
        </is>
      </c>
      <c r="TU2" s="3" t="inlineStr">
        <is>
          <t>9876549D US Equity</t>
        </is>
      </c>
      <c r="UY2" s="3" t="inlineStr">
        <is>
          <t>HRI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BDS("FITB US Equity","SUPPLY_CHAIN_SUPPLIERS_FULL_DATA")</f>
        <v/>
      </c>
      <c r="AS5">
        <f>BDS("FITB US Equity","SUPPLY_CHAIN_CUSTOMERS_FULL_DATA")</f>
        <v/>
      </c>
      <c r="BI5">
        <f>BDS("9990822D US Equity","SUPPLY_CHAIN_SUPPLIERS_FULL_DATA")</f>
        <v/>
      </c>
      <c r="BW5">
        <f>BDS("9990822D US Equity","SUPPLY_CHAIN_CUSTOMERS_FULL_DATA")</f>
        <v/>
      </c>
      <c r="CM5">
        <f>BDS("YELLQ US Equity","SUPPLY_CHAIN_SUPPLIERS_FULL_DATA")</f>
        <v/>
      </c>
      <c r="DA5">
        <f>BDS("YELLQ US Equity","SUPPLY_CHAIN_CUSTOMERS_FULL_DATA")</f>
        <v/>
      </c>
      <c r="DQ5">
        <f>BDS("GE US Equity","SUPPLY_CHAIN_SUPPLIERS_FULL_DATA")</f>
        <v/>
      </c>
      <c r="EE5">
        <f>BDS("GE US Equity","SUPPLY_CHAIN_CUSTOMERS_FULL_DATA")</f>
        <v/>
      </c>
      <c r="EU5">
        <f>BDS("SYK US Equity","SUPPLY_CHAIN_SUPPLIERS_FULL_DATA")</f>
        <v/>
      </c>
      <c r="FI5">
        <f>BDS("SYK US Equity","SUPPLY_CHAIN_CUSTOMERS_FULL_DATA")</f>
        <v/>
      </c>
      <c r="FY5">
        <f>BDS("MKSI US Equity","SUPPLY_CHAIN_SUPPLIERS_FULL_DATA")</f>
        <v/>
      </c>
      <c r="GM5">
        <f>BDS("MKSI US Equity","SUPPLY_CHAIN_CUSTOMERS_FULL_DATA")</f>
        <v/>
      </c>
      <c r="HC5">
        <f>BDS("GAPTQ US Equity","SUPPLY_CHAIN_SUPPLIERS_FULL_DATA")</f>
        <v/>
      </c>
      <c r="HQ5">
        <f>BDS("GAPTQ US Equity","SUPPLY_CHAIN_CUSTOMERS_FULL_DATA")</f>
        <v/>
      </c>
      <c r="IG5">
        <f>BDS("ESRX US Equity","SUPPLY_CHAIN_SUPPLIERS_FULL_DATA")</f>
        <v/>
      </c>
      <c r="IU5">
        <f>BDS("ESRX US Equity","SUPPLY_CHAIN_CUSTOMERS_FULL_DATA")</f>
        <v/>
      </c>
      <c r="JK5">
        <f>BDS("2258717D US Equity","SUPPLY_CHAIN_SUPPLIERS_FULL_DATA")</f>
        <v/>
      </c>
      <c r="JY5">
        <f>BDS("2258717D US Equity","SUPPLY_CHAIN_CUSTOMERS_FULL_DATA")</f>
        <v/>
      </c>
      <c r="KO5">
        <f>BDS("KG US Equity","SUPPLY_CHAIN_SUPPLIERS_FULL_DATA")</f>
        <v/>
      </c>
      <c r="LC5">
        <f>BDS("KG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BDS("TSS US Equity","SUPPLY_CHAIN_SUPPLIERS_FULL_DATA")</f>
        <v/>
      </c>
      <c r="NK5">
        <f>BDS("TSS US Equity","SUPPLY_CHAIN_CUSTOMERS_FULL_DATA")</f>
        <v/>
      </c>
      <c r="OA5">
        <f>BDS("MMGR US Equity","SUPPLY_CHAIN_SUPPLIERS_FULL_DATA")</f>
        <v/>
      </c>
      <c r="OO5">
        <f>BDS("MMGR US Equity","SUPPLY_CHAIN_CUSTOMERS_FULL_DATA")</f>
        <v/>
      </c>
      <c r="PE5">
        <f>BDS("HLX US Equity","SUPPLY_CHAIN_SUPPLIERS_FULL_DATA")</f>
        <v/>
      </c>
      <c r="PS5">
        <f>BDS("HLX US Equity","SUPPLY_CHAIN_CUSTOMERS_FULL_DATA")</f>
        <v/>
      </c>
      <c r="QI5">
        <f>BDS("CLH US Equity","SUPPLY_CHAIN_SUPPLIERS_FULL_DATA")</f>
        <v/>
      </c>
      <c r="QW5">
        <f>BDS("CLH US Equity","SUPPLY_CHAIN_CUSTOMERS_FULL_DATA")</f>
        <v/>
      </c>
      <c r="RM5">
        <f>BDS("1858968D US Equity","SUPPLY_CHAIN_SUPPLIERS_FULL_DATA")</f>
        <v/>
      </c>
      <c r="SA5">
        <f>BDS("1858968D US Equity","SUPPLY_CHAIN_CUSTOMERS_FULL_DATA")</f>
        <v/>
      </c>
      <c r="SQ5">
        <f>BDS("MDRX US Equity","SUPPLY_CHAIN_SUPPLIERS_FULL_DATA")</f>
        <v/>
      </c>
      <c r="TE5">
        <f>BDS("MDRX US Equity","SUPPLY_CHAIN_CUSTOMERS_FULL_DATA")</f>
        <v/>
      </c>
      <c r="TU5">
        <f>BDS("9876549D US Equity","SUPPLY_CHAIN_SUPPLIERS_FULL_DATA")</f>
        <v/>
      </c>
      <c r="UI5">
        <f>BDS("9876549D US Equity","SUPPLY_CHAIN_CUSTOMERS_FULL_DATA")</f>
        <v/>
      </c>
      <c r="UY5">
        <f>BDS("HRI US Equity","SUPPLY_CHAIN_SUPPLIERS_FULL_DATA")</f>
        <v/>
      </c>
      <c r="VM5">
        <f>BDS("HRI US Equity","SUPPLY_CHAIN_CUSTOMERS_FULL_DATA")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1241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1242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1243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1244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1245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1246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1247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1248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1249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1250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1251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1252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1253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1254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1255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1256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1257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1258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1259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1260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IRM US Equity</t>
        </is>
      </c>
      <c r="AE2" s="3" t="inlineStr">
        <is>
          <t>IBM US Equity</t>
        </is>
      </c>
      <c r="BI2" s="3" t="inlineStr">
        <is>
          <t>AGR US Equity</t>
        </is>
      </c>
      <c r="CM2" s="3" t="inlineStr">
        <is>
          <t>CLOV US Equity</t>
        </is>
      </c>
      <c r="DQ2" s="3" t="inlineStr">
        <is>
          <t>CMRCQ US Equity</t>
        </is>
      </c>
      <c r="EU2" s="3" t="inlineStr">
        <is>
          <t>JPM US Equity</t>
        </is>
      </c>
      <c r="FY2" s="3" t="inlineStr">
        <is>
          <t>INTU US Equity</t>
        </is>
      </c>
      <c r="HC2" s="3" t="inlineStr">
        <is>
          <t>GME US Equity</t>
        </is>
      </c>
      <c r="IG2" s="3" t="inlineStr">
        <is>
          <t>605018Q US Equity</t>
        </is>
      </c>
      <c r="JK2" s="3" t="inlineStr">
        <is>
          <t>ACC US Equity</t>
        </is>
      </c>
      <c r="KO2" s="3" t="inlineStr">
        <is>
          <t>MSFT US Equity</t>
        </is>
      </c>
      <c r="LS2" s="3" t="inlineStr">
        <is>
          <t>EFX US Equity</t>
        </is>
      </c>
      <c r="MW2" s="3" t="inlineStr">
        <is>
          <t>CVS US Equity</t>
        </is>
      </c>
      <c r="OA2" s="3" t="inlineStr">
        <is>
          <t>GE US Equity</t>
        </is>
      </c>
      <c r="PE2" s="3" t="inlineStr">
        <is>
          <t>MWE US Equity</t>
        </is>
      </c>
      <c r="QI2" s="3" t="inlineStr">
        <is>
          <t>PFE US Equity</t>
        </is>
      </c>
      <c r="RM2" s="3" t="inlineStr">
        <is>
          <t>JNJ US Equity</t>
        </is>
      </c>
      <c r="SQ2" s="3" t="inlineStr">
        <is>
          <t>VRSN US Equity</t>
        </is>
      </c>
      <c r="TU2" s="3" t="inlineStr">
        <is>
          <t>AIG US Equity</t>
        </is>
      </c>
      <c r="UY2" s="3" t="inlineStr">
        <is>
          <t>EXE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BDS("IRM US Equity","SUPPLY_CHAIN_SUPPLIERS_FULL_DATA")</f>
        <v/>
      </c>
      <c r="O5">
        <f>BDS("IRM US Equity","SUPPLY_CHAIN_CUSTOMERS_FULL_DATA")</f>
        <v/>
      </c>
      <c r="AE5">
        <f>BDS("IBM US Equity","SUPPLY_CHAIN_SUPPLIERS_FULL_DATA")</f>
        <v/>
      </c>
      <c r="AS5">
        <f>BDS("IBM US Equity","SUPPLY_CHAIN_CUSTOMERS_FULL_DATA")</f>
        <v/>
      </c>
      <c r="BI5">
        <f>BDS("AGR US Equity","SUPPLY_CHAIN_SUPPLIERS_FULL_DATA")</f>
        <v/>
      </c>
      <c r="BW5">
        <f>BDS("AGR US Equity","SUPPLY_CHAIN_CUSTOMERS_FULL_DATA")</f>
        <v/>
      </c>
      <c r="CM5">
        <f>BDS("CLOV US Equity","SUPPLY_CHAIN_SUPPLIERS_FULL_DATA")</f>
        <v/>
      </c>
      <c r="DA5">
        <f>BDS("CLOV US Equity","SUPPLY_CHAIN_CUSTOMERS_FULL_DATA")</f>
        <v/>
      </c>
      <c r="DQ5">
        <f>BDS("CMRCQ US Equity","SUPPLY_CHAIN_SUPPLIERS_FULL_DATA")</f>
        <v/>
      </c>
      <c r="EE5">
        <f>BDS("CMRCQ US Equity","SUPPLY_CHAIN_CUSTOMERS_FULL_DATA")</f>
        <v/>
      </c>
      <c r="EU5">
        <f>BDS("JPM US Equity","SUPPLY_CHAIN_SUPPLIERS_FULL_DATA")</f>
        <v/>
      </c>
      <c r="FI5">
        <f>BDS("JPM US Equity","SUPPLY_CHAIN_CUSTOMERS_FULL_DATA")</f>
        <v/>
      </c>
      <c r="FY5">
        <f>BDS("INTU US Equity","SUPPLY_CHAIN_SUPPLIERS_FULL_DATA")</f>
        <v/>
      </c>
      <c r="GM5">
        <f>BDS("INTU US Equity","SUPPLY_CHAIN_CUSTOMERS_FULL_DATA")</f>
        <v/>
      </c>
      <c r="HC5">
        <f>BDS("GME US Equity","SUPPLY_CHAIN_SUPPLIERS_FULL_DATA")</f>
        <v/>
      </c>
      <c r="HQ5">
        <f>BDS("GME US Equity","SUPPLY_CHAIN_CUSTOMERS_FULL_DATA")</f>
        <v/>
      </c>
      <c r="IG5">
        <f>BDS("605018Q US Equity","SUPPLY_CHAIN_SUPPLIERS_FULL_DATA")</f>
        <v/>
      </c>
      <c r="IU5">
        <f>BDS("605018Q US Equity","SUPPLY_CHAIN_CUSTOMERS_FULL_DATA")</f>
        <v/>
      </c>
      <c r="JK5">
        <f>BDS("ACC US Equity","SUPPLY_CHAIN_SUPPLIERS_FULL_DATA")</f>
        <v/>
      </c>
      <c r="JY5">
        <f>BDS("ACC US Equity","SUPPLY_CHAIN_CUSTOMERS_FULL_DATA")</f>
        <v/>
      </c>
      <c r="KO5">
        <f>BDS("MSFT US Equity","SUPPLY_CHAIN_SUPPLIERS_FULL_DATA")</f>
        <v/>
      </c>
      <c r="LC5">
        <f>BDS("MSFT US Equity","SUPPLY_CHAIN_CUSTOMERS_FULL_DATA")</f>
        <v/>
      </c>
      <c r="LS5">
        <f>BDS("EFX US Equity","SUPPLY_CHAIN_SUPPLIERS_FULL_DATA")</f>
        <v/>
      </c>
      <c r="MG5">
        <f>BDS("EFX US Equity","SUPPLY_CHAIN_CUSTOMERS_FULL_DATA")</f>
        <v/>
      </c>
      <c r="MW5">
        <f>BDS("CVS US Equity","SUPPLY_CHAIN_SUPPLIERS_FULL_DATA")</f>
        <v/>
      </c>
      <c r="NK5">
        <f>BDS("CVS US Equity","SUPPLY_CHAIN_CUSTOMERS_FULL_DATA")</f>
        <v/>
      </c>
      <c r="OA5">
        <f>BDS("GE US Equity","SUPPLY_CHAIN_SUPPLIERS_FULL_DATA")</f>
        <v/>
      </c>
      <c r="OO5">
        <f>BDS("GE US Equity","SUPPLY_CHAIN_CUSTOMERS_FULL_DATA")</f>
        <v/>
      </c>
      <c r="PE5">
        <f>BDS("MWE US Equity","SUPPLY_CHAIN_SUPPLIERS_FULL_DATA")</f>
        <v/>
      </c>
      <c r="PS5">
        <f>BDS("MWE US Equity","SUPPLY_CHAIN_CUSTOMERS_FULL_DATA")</f>
        <v/>
      </c>
      <c r="QI5">
        <f>BDS("PFE US Equity","SUPPLY_CHAIN_SUPPLIERS_FULL_DATA")</f>
        <v/>
      </c>
      <c r="QW5">
        <f>BDS("PFE US Equity","SUPPLY_CHAIN_CUSTOMERS_FULL_DATA")</f>
        <v/>
      </c>
      <c r="RM5">
        <f>BDS("JNJ US Equity","SUPPLY_CHAIN_SUPPLIERS_FULL_DATA")</f>
        <v/>
      </c>
      <c r="SA5">
        <f>BDS("JNJ US Equity","SUPPLY_CHAIN_CUSTOMERS_FULL_DATA")</f>
        <v/>
      </c>
      <c r="SQ5">
        <f>BDS("VRSN US Equity","SUPPLY_CHAIN_SUPPLIERS_FULL_DATA")</f>
        <v/>
      </c>
      <c r="TE5">
        <f>BDS("VRSN US Equity","SUPPLY_CHAIN_CUSTOMERS_FULL_DATA")</f>
        <v/>
      </c>
      <c r="TU5">
        <f>BDS("AIG US Equity","SUPPLY_CHAIN_SUPPLIERS_FULL_DATA")</f>
        <v/>
      </c>
      <c r="UI5">
        <f>BDS("AIG US Equity","SUPPLY_CHAIN_CUSTOMERS_FULL_DATA")</f>
        <v/>
      </c>
      <c r="UY5">
        <f>BDS("EXE US Equity","SUPPLY_CHAIN_SUPPLIERS_FULL_DATA")</f>
        <v/>
      </c>
      <c r="VM5">
        <f>BDS("EXE US Equity","SUPPLY_CHAIN_CUSTOMERS_FULL_DATA")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1261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1262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1263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1264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1265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1266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1267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1268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1269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1270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1271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1272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1273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1274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1275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1276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1277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1278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1279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1280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TCF US Equity</t>
        </is>
      </c>
      <c r="AE2" s="3" t="inlineStr">
        <is>
          <t>RS US Equity</t>
        </is>
      </c>
      <c r="BI2" s="3" t="inlineStr">
        <is>
          <t>INDB US Equity</t>
        </is>
      </c>
      <c r="CM2" s="3" t="inlineStr">
        <is>
          <t>ASCMA US Equity</t>
        </is>
      </c>
      <c r="DQ2" s="3" t="inlineStr">
        <is>
          <t>LEN US Equity</t>
        </is>
      </c>
      <c r="EU2" s="3" t="inlineStr">
        <is>
          <t>SCI US Equity</t>
        </is>
      </c>
      <c r="FY2" s="3" t="inlineStr">
        <is>
          <t>BWA US Equity</t>
        </is>
      </c>
      <c r="HC2" s="3" t="inlineStr">
        <is>
          <t>PWR US Equity</t>
        </is>
      </c>
      <c r="IG2" s="3" t="inlineStr">
        <is>
          <t>CMA US Equity</t>
        </is>
      </c>
      <c r="JK2" s="3" t="inlineStr">
        <is>
          <t>TQNT US Equity</t>
        </is>
      </c>
      <c r="KO2" s="3" t="inlineStr">
        <is>
          <t>WELL US Equity</t>
        </is>
      </c>
      <c r="LS2" s="3" t="inlineStr">
        <is>
          <t>LVLT US Equity</t>
        </is>
      </c>
      <c r="MW2" s="3" t="inlineStr">
        <is>
          <t>DHI US Equity</t>
        </is>
      </c>
      <c r="OA2" s="3" t="inlineStr">
        <is>
          <t>BOKF US Equity</t>
        </is>
      </c>
      <c r="PE2" s="3" t="inlineStr">
        <is>
          <t>RAH US Equity</t>
        </is>
      </c>
      <c r="QI2" s="3" t="inlineStr">
        <is>
          <t>HQY US Equity</t>
        </is>
      </c>
      <c r="RM2" s="3" t="inlineStr">
        <is>
          <t>TFC US Equity</t>
        </is>
      </c>
      <c r="SQ2" s="3" t="inlineStr">
        <is>
          <t>FDX US Equity</t>
        </is>
      </c>
      <c r="TU2" s="3" t="inlineStr">
        <is>
          <t>SIG US Equity</t>
        </is>
      </c>
      <c r="UY2" s="3" t="inlineStr">
        <is>
          <t>0202445Q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BDS("TCF US Equity","SUPPLY_CHAIN_SUPPLIERS_FULL_DATA")</f>
        <v/>
      </c>
      <c r="O5">
        <f>BDS("TCF US Equity","SUPPLY_CHAIN_CUSTOMERS_FULL_DATA")</f>
        <v/>
      </c>
      <c r="AE5">
        <f>BDS("RS US Equity","SUPPLY_CHAIN_SUPPLIERS_FULL_DATA")</f>
        <v/>
      </c>
      <c r="AS5">
        <f>BDS("RS US Equity","SUPPLY_CHAIN_CUSTOMERS_FULL_DATA")</f>
        <v/>
      </c>
      <c r="BI5">
        <f>BDS("INDB US Equity","SUPPLY_CHAIN_SUPPLIERS_FULL_DATA")</f>
        <v/>
      </c>
      <c r="BW5">
        <f>BDS("INDB US Equity","SUPPLY_CHAIN_CUSTOMERS_FULL_DATA")</f>
        <v/>
      </c>
      <c r="CM5">
        <f>BDS("ASCMA US Equity","SUPPLY_CHAIN_SUPPLIERS_FULL_DATA")</f>
        <v/>
      </c>
      <c r="DA5">
        <f>BDS("ASCMA US Equity","SUPPLY_CHAIN_CUSTOMERS_FULL_DATA")</f>
        <v/>
      </c>
      <c r="DQ5">
        <f>BDS("LEN US Equity","SUPPLY_CHAIN_SUPPLIERS_FULL_DATA")</f>
        <v/>
      </c>
      <c r="EE5">
        <f>BDS("LEN US Equity","SUPPLY_CHAIN_CUSTOMERS_FULL_DATA")</f>
        <v/>
      </c>
      <c r="EU5">
        <f>BDS("SCI US Equity","SUPPLY_CHAIN_SUPPLIERS_FULL_DATA")</f>
        <v/>
      </c>
      <c r="FI5">
        <f>BDS("SCI US Equity","SUPPLY_CHAIN_CUSTOMERS_FULL_DATA")</f>
        <v/>
      </c>
      <c r="FY5">
        <f>BDS("BWA US Equity","SUPPLY_CHAIN_SUPPLIERS_FULL_DATA")</f>
        <v/>
      </c>
      <c r="GM5">
        <f>BDS("BWA US Equity","SUPPLY_CHAIN_CUSTOMERS_FULL_DATA")</f>
        <v/>
      </c>
      <c r="HC5">
        <f>BDS("PWR US Equity","SUPPLY_CHAIN_SUPPLIERS_FULL_DATA")</f>
        <v/>
      </c>
      <c r="HQ5">
        <f>BDS("PWR US Equity","SUPPLY_CHAIN_CUSTOMERS_FULL_DATA")</f>
        <v/>
      </c>
      <c r="IG5">
        <f>BDS("CMA US Equity","SUPPLY_CHAIN_SUPPLIERS_FULL_DATA")</f>
        <v/>
      </c>
      <c r="IU5">
        <f>BDS("CMA US Equity","SUPPLY_CHAIN_CUSTOMERS_FULL_DATA")</f>
        <v/>
      </c>
      <c r="JK5">
        <f>BDS("TQNT US Equity","SUPPLY_CHAIN_SUPPLIERS_FULL_DATA")</f>
        <v/>
      </c>
      <c r="JY5">
        <f>BDS("TQNT US Equity","SUPPLY_CHAIN_CUSTOMERS_FULL_DATA")</f>
        <v/>
      </c>
      <c r="KO5">
        <f>BDS("WELL US Equity","SUPPLY_CHAIN_SUPPLIERS_FULL_DATA")</f>
        <v/>
      </c>
      <c r="LC5">
        <f>BDS("WELL US Equity","SUPPLY_CHAIN_CUSTOMERS_FULL_DATA")</f>
        <v/>
      </c>
      <c r="LS5">
        <f>BDS("LVLT US Equity","SUPPLY_CHAIN_SUPPLIERS_FULL_DATA")</f>
        <v/>
      </c>
      <c r="MG5">
        <f>BDS("LVLT US Equity","SUPPLY_CHAIN_CUSTOMERS_FULL_DATA")</f>
        <v/>
      </c>
      <c r="MW5">
        <f>BDS("DHI US Equity","SUPPLY_CHAIN_SUPPLIERS_FULL_DATA")</f>
        <v/>
      </c>
      <c r="NK5">
        <f>BDS("DHI US Equity","SUPPLY_CHAIN_CUSTOMERS_FULL_DATA")</f>
        <v/>
      </c>
      <c r="OA5">
        <f>BDS("BOKF US Equity","SUPPLY_CHAIN_SUPPLIERS_FULL_DATA")</f>
        <v/>
      </c>
      <c r="OO5">
        <f>BDS("BOKF US Equity","SUPPLY_CHAIN_CUSTOMERS_FULL_DATA")</f>
        <v/>
      </c>
      <c r="PE5">
        <f>BDS("RAH US Equity","SUPPLY_CHAIN_SUPPLIERS_FULL_DATA")</f>
        <v/>
      </c>
      <c r="PS5">
        <f>BDS("RAH US Equity","SUPPLY_CHAIN_CUSTOMERS_FULL_DATA")</f>
        <v/>
      </c>
      <c r="QI5">
        <f>BDS("HQY US Equity","SUPPLY_CHAIN_SUPPLIERS_FULL_DATA")</f>
        <v/>
      </c>
      <c r="QW5">
        <f>BDS("HQY US Equity","SUPPLY_CHAIN_CUSTOMERS_FULL_DATA")</f>
        <v/>
      </c>
      <c r="RM5">
        <f>BDS("TFC US Equity","SUPPLY_CHAIN_SUPPLIERS_FULL_DATA")</f>
        <v/>
      </c>
      <c r="SA5">
        <f>BDS("TFC US Equity","SUPPLY_CHAIN_CUSTOMERS_FULL_DATA")</f>
        <v/>
      </c>
      <c r="SQ5">
        <f>BDS("FDX US Equity","SUPPLY_CHAIN_SUPPLIERS_FULL_DATA")</f>
        <v/>
      </c>
      <c r="TE5">
        <f>BDS("FDX US Equity","SUPPLY_CHAIN_CUSTOMERS_FULL_DATA")</f>
        <v/>
      </c>
      <c r="TU5">
        <f>BDS("SIG US Equity","SUPPLY_CHAIN_SUPPLIERS_FULL_DATA")</f>
        <v/>
      </c>
      <c r="UI5">
        <f>BDS("SIG US Equity","SUPPLY_CHAIN_CUSTOMERS_FULL_DATA")</f>
        <v/>
      </c>
      <c r="UY5">
        <f>BDS("0202445Q US Equity","SUPPLY_CHAIN_SUPPLIERS_FULL_DATA")</f>
        <v/>
      </c>
      <c r="VM5">
        <f>BDS("0202445Q US Equity","SUPPLY_CHAIN_CUSTOMERS_FULL_DATA")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1281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1282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1283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1284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1285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1286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1287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1288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1289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1290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1291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1292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1293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1294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1295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1296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1297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1298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1299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1300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AMC US Equity</t>
        </is>
      </c>
      <c r="AE2" s="3" t="inlineStr">
        <is>
          <t>0848680D US Equity</t>
        </is>
      </c>
      <c r="BI2" s="3" t="inlineStr">
        <is>
          <t>MPANQ US Equity</t>
        </is>
      </c>
      <c r="CM2" s="3" t="inlineStr">
        <is>
          <t>MTCH US Equity</t>
        </is>
      </c>
      <c r="DQ2" s="3" t="inlineStr">
        <is>
          <t>BX US Equity</t>
        </is>
      </c>
      <c r="EU2" s="3" t="inlineStr">
        <is>
          <t>JAH US Equity</t>
        </is>
      </c>
      <c r="FY2" s="3" t="inlineStr">
        <is>
          <t>1541946D US Equity</t>
        </is>
      </c>
      <c r="HC2" s="3" t="inlineStr">
        <is>
          <t>COO US Equity</t>
        </is>
      </c>
      <c r="IG2" s="3" t="inlineStr">
        <is>
          <t>ED US Equity</t>
        </is>
      </c>
      <c r="JK2" s="3" t="inlineStr">
        <is>
          <t>1986522D US Equity</t>
        </is>
      </c>
      <c r="KO2" s="3" t="inlineStr">
        <is>
          <t>EMR US Equity</t>
        </is>
      </c>
      <c r="LS2" s="3" t="inlineStr">
        <is>
          <t>WSC US Equity</t>
        </is>
      </c>
      <c r="MW2" s="3" t="inlineStr">
        <is>
          <t>VCI US Equity</t>
        </is>
      </c>
      <c r="OA2" s="3" t="inlineStr">
        <is>
          <t>SRTOQ US Equity</t>
        </is>
      </c>
      <c r="PE2" s="3" t="inlineStr">
        <is>
          <t>9876544D US Equity</t>
        </is>
      </c>
      <c r="QI2" s="3" t="inlineStr">
        <is>
          <t>2596516D US Equity</t>
        </is>
      </c>
      <c r="RM2" s="3" t="inlineStr">
        <is>
          <t>MATV US Equity</t>
        </is>
      </c>
      <c r="SQ2" s="3" t="inlineStr">
        <is>
          <t>838969Q US Equity</t>
        </is>
      </c>
      <c r="TU2" s="3" t="inlineStr">
        <is>
          <t>NCC US Equity</t>
        </is>
      </c>
      <c r="UY2" s="3" t="inlineStr">
        <is>
          <t>WINMQ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BDS("AMC US Equity","SUPPLY_CHAIN_SUPPLIERS_FULL_DATA")</f>
        <v/>
      </c>
      <c r="O5">
        <f>BDS("AMC US Equity","SUPPLY_CHAIN_CUSTOMERS_FULL_DATA")</f>
        <v/>
      </c>
      <c r="AE5">
        <f>BDS("0848680D US Equity","SUPPLY_CHAIN_SUPPLIERS_FULL_DATA")</f>
        <v/>
      </c>
      <c r="AS5">
        <f>BDS("0848680D US Equity","SUPPLY_CHAIN_CUSTOMERS_FULL_DATA")</f>
        <v/>
      </c>
      <c r="BI5">
        <f>BDS("MPANQ US Equity","SUPPLY_CHAIN_SUPPLIERS_FULL_DATA")</f>
        <v/>
      </c>
      <c r="BW5">
        <f>BDS("MPANQ US Equity","SUPPLY_CHAIN_CUSTOMERS_FULL_DATA")</f>
        <v/>
      </c>
      <c r="CM5">
        <f>BDS("MTCH US Equity","SUPPLY_CHAIN_SUPPLIERS_FULL_DATA")</f>
        <v/>
      </c>
      <c r="DA5">
        <f>BDS("MTCH US Equity","SUPPLY_CHAIN_CUSTOMERS_FULL_DATA")</f>
        <v/>
      </c>
      <c r="DQ5">
        <f>BDS("BX US Equity","SUPPLY_CHAIN_SUPPLIERS_FULL_DATA")</f>
        <v/>
      </c>
      <c r="EE5">
        <f>BDS("BX US Equity","SUPPLY_CHAIN_CUSTOMERS_FULL_DATA")</f>
        <v/>
      </c>
      <c r="EU5">
        <f>BDS("JAH US Equity","SUPPLY_CHAIN_SUPPLIERS_FULL_DATA")</f>
        <v/>
      </c>
      <c r="FI5">
        <f>BDS("JAH US Equity","SUPPLY_CHAIN_CUSTOMERS_FULL_DATA")</f>
        <v/>
      </c>
      <c r="FY5">
        <f>BDS("1541946D US Equity","SUPPLY_CHAIN_SUPPLIERS_FULL_DATA")</f>
        <v/>
      </c>
      <c r="GM5">
        <f>BDS("1541946D US Equity","SUPPLY_CHAIN_CUSTOMERS_FULL_DATA")</f>
        <v/>
      </c>
      <c r="HC5">
        <f>BDS("COO US Equity","SUPPLY_CHAIN_SUPPLIERS_FULL_DATA")</f>
        <v/>
      </c>
      <c r="HQ5">
        <f>BDS("COO US Equity","SUPPLY_CHAIN_CUSTOMERS_FULL_DATA")</f>
        <v/>
      </c>
      <c r="IG5">
        <f>BDS("ED US Equity","SUPPLY_CHAIN_SUPPLIERS_FULL_DATA")</f>
        <v/>
      </c>
      <c r="IU5">
        <f>BDS("ED US Equity","SUPPLY_CHAIN_CUSTOMERS_FULL_DATA")</f>
        <v/>
      </c>
      <c r="JK5">
        <f>BDS("1986522D US Equity","SUPPLY_CHAIN_SUPPLIERS_FULL_DATA")</f>
        <v/>
      </c>
      <c r="JY5">
        <f>BDS("1986522D US Equity","SUPPLY_CHAIN_CUSTOMERS_FULL_DATA")</f>
        <v/>
      </c>
      <c r="KO5">
        <f>BDS("EMR US Equity","SUPPLY_CHAIN_SUPPLIERS_FULL_DATA")</f>
        <v/>
      </c>
      <c r="LC5">
        <f>BDS("EMR US Equity","SUPPLY_CHAIN_CUSTOMERS_FULL_DATA")</f>
        <v/>
      </c>
      <c r="LS5">
        <f>BDS("WSC US Equity","SUPPLY_CHAIN_SUPPLIERS_FULL_DATA")</f>
        <v/>
      </c>
      <c r="MG5">
        <f>BDS("WSC US Equity","SUPPLY_CHAIN_CUSTOMERS_FULL_DATA")</f>
        <v/>
      </c>
      <c r="MW5">
        <f>BDS("VCI US Equity","SUPPLY_CHAIN_SUPPLIERS_FULL_DATA")</f>
        <v/>
      </c>
      <c r="NK5">
        <f>BDS("VCI US Equity","SUPPLY_CHAIN_CUSTOMERS_FULL_DATA")</f>
        <v/>
      </c>
      <c r="OA5">
        <f>BDS("SRTOQ US Equity","SUPPLY_CHAIN_SUPPLIERS_FULL_DATA")</f>
        <v/>
      </c>
      <c r="OO5">
        <f>BDS("SRTOQ US Equity","SUPPLY_CHAIN_CUSTOMERS_FULL_DATA")</f>
        <v/>
      </c>
      <c r="PE5">
        <f>BDS("9876544D US Equity","SUPPLY_CHAIN_SUPPLIERS_FULL_DATA")</f>
        <v/>
      </c>
      <c r="PS5">
        <f>BDS("9876544D US Equity","SUPPLY_CHAIN_CUSTOMERS_FULL_DATA")</f>
        <v/>
      </c>
      <c r="QI5">
        <f>BDS("2596516D US Equity","SUPPLY_CHAIN_SUPPLIERS_FULL_DATA")</f>
        <v/>
      </c>
      <c r="QW5">
        <f>BDS("2596516D US Equity","SUPPLY_CHAIN_CUSTOMERS_FULL_DATA")</f>
        <v/>
      </c>
      <c r="RM5">
        <f>BDS("MATV US Equity","SUPPLY_CHAIN_SUPPLIERS_FULL_DATA")</f>
        <v/>
      </c>
      <c r="SA5">
        <f>BDS("MATV US Equity","SUPPLY_CHAIN_CUSTOMERS_FULL_DATA")</f>
        <v/>
      </c>
      <c r="SQ5">
        <f>BDS("838969Q US Equity","SUPPLY_CHAIN_SUPPLIERS_FULL_DATA")</f>
        <v/>
      </c>
      <c r="TE5">
        <f>BDS("838969Q US Equity","SUPPLY_CHAIN_CUSTOMERS_FULL_DATA")</f>
        <v/>
      </c>
      <c r="TU5">
        <f>BDS("NCC US Equity","SUPPLY_CHAIN_SUPPLIERS_FULL_DATA")</f>
        <v/>
      </c>
      <c r="UI5">
        <f>BDS("NCC US Equity","SUPPLY_CHAIN_CUSTOMERS_FULL_DATA")</f>
        <v/>
      </c>
      <c r="UY5">
        <f>BDS("WINMQ US Equity","SUPPLY_CHAIN_SUPPLIERS_FULL_DATA")</f>
        <v/>
      </c>
      <c r="VM5">
        <f>BDS("WINMQ US Equity","SUPPLY_CHAIN_CUSTOMERS_FULL_DATA")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1301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1302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1303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1304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1305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1306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1307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1308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1309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1310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1311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1312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1313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1314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1315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1316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1317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1318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1319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1320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BAC US Equity</t>
        </is>
      </c>
      <c r="AE2" s="3" t="inlineStr">
        <is>
          <t>STJ US Equity</t>
        </is>
      </c>
      <c r="BI2" s="3" t="inlineStr">
        <is>
          <t>PPC US Equity</t>
        </is>
      </c>
      <c r="CM2" s="3" t="inlineStr">
        <is>
          <t>HTO US Equity</t>
        </is>
      </c>
      <c r="DQ2" s="3" t="inlineStr">
        <is>
          <t>IBM US Equity</t>
        </is>
      </c>
      <c r="EU2" s="3" t="inlineStr">
        <is>
          <t>JNJ US Equity</t>
        </is>
      </c>
      <c r="FY2" s="3" t="inlineStr">
        <is>
          <t>NS US Equity</t>
        </is>
      </c>
      <c r="HC2" s="3" t="inlineStr">
        <is>
          <t>AKS US Equity</t>
        </is>
      </c>
      <c r="IG2" s="3" t="inlineStr">
        <is>
          <t>FTRCQ US Equity</t>
        </is>
      </c>
      <c r="JK2" s="3" t="inlineStr">
        <is>
          <t>TMO US Equity</t>
        </is>
      </c>
      <c r="KO2" s="3" t="inlineStr">
        <is>
          <t>ON US Equity</t>
        </is>
      </c>
      <c r="LS2" s="3" t="inlineStr">
        <is>
          <t>118569Q US Equity</t>
        </is>
      </c>
      <c r="MW2" s="3" t="inlineStr">
        <is>
          <t>ABT US Equity</t>
        </is>
      </c>
      <c r="OA2" s="3" t="inlineStr">
        <is>
          <t>1255173D US Equity</t>
        </is>
      </c>
      <c r="PE2" s="3" t="inlineStr">
        <is>
          <t>VYX US Equity</t>
        </is>
      </c>
      <c r="QI2" s="3" t="inlineStr">
        <is>
          <t>PBF US Equity</t>
        </is>
      </c>
      <c r="RM2" s="3" t="inlineStr">
        <is>
          <t>WM US Equity</t>
        </is>
      </c>
      <c r="SQ2" s="3" t="inlineStr">
        <is>
          <t>PRETQ US Equity</t>
        </is>
      </c>
      <c r="TU2" s="3" t="inlineStr">
        <is>
          <t>SCHW US Equity</t>
        </is>
      </c>
      <c r="UY2" s="3" t="inlineStr">
        <is>
          <t>ATTM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BDS("BAC US Equity","SUPPLY_CHAIN_SUPPLIERS_FULL_DATA")</f>
        <v/>
      </c>
      <c r="O5">
        <f>BDS("BAC US Equity","SUPPLY_CHAIN_CUSTOMERS_FULL_DATA")</f>
        <v/>
      </c>
      <c r="AE5">
        <f>BDS("STJ US Equity","SUPPLY_CHAIN_SUPPLIERS_FULL_DATA")</f>
        <v/>
      </c>
      <c r="AS5">
        <f>BDS("STJ US Equity","SUPPLY_CHAIN_CUSTOMERS_FULL_DATA")</f>
        <v/>
      </c>
      <c r="BI5">
        <f>BDS("PPC US Equity","SUPPLY_CHAIN_SUPPLIERS_FULL_DATA")</f>
        <v/>
      </c>
      <c r="BW5">
        <f>BDS("PPC US Equity","SUPPLY_CHAIN_CUSTOMERS_FULL_DATA")</f>
        <v/>
      </c>
      <c r="CM5">
        <f>BDS("HTO US Equity","SUPPLY_CHAIN_SUPPLIERS_FULL_DATA")</f>
        <v/>
      </c>
      <c r="DA5">
        <f>BDS("HTO US Equity","SUPPLY_CHAIN_CUSTOMERS_FULL_DATA")</f>
        <v/>
      </c>
      <c r="DQ5">
        <f>BDS("IBM US Equity","SUPPLY_CHAIN_SUPPLIERS_FULL_DATA")</f>
        <v/>
      </c>
      <c r="EE5">
        <f>BDS("IBM US Equity","SUPPLY_CHAIN_CUSTOMERS_FULL_DATA")</f>
        <v/>
      </c>
      <c r="EU5">
        <f>BDS("JNJ US Equity","SUPPLY_CHAIN_SUPPLIERS_FULL_DATA")</f>
        <v/>
      </c>
      <c r="FI5">
        <f>BDS("JNJ US Equity","SUPPLY_CHAIN_CUSTOMERS_FULL_DATA")</f>
        <v/>
      </c>
      <c r="FY5">
        <f>BDS("NS US Equity","SUPPLY_CHAIN_SUPPLIERS_FULL_DATA")</f>
        <v/>
      </c>
      <c r="GM5">
        <f>BDS("NS US Equity","SUPPLY_CHAIN_CUSTOMERS_FULL_DATA")</f>
        <v/>
      </c>
      <c r="HC5">
        <f>BDS("AKS US Equity","SUPPLY_CHAIN_SUPPLIERS_FULL_DATA")</f>
        <v/>
      </c>
      <c r="HQ5">
        <f>BDS("AKS US Equity","SUPPLY_CHAIN_CUSTOMERS_FULL_DATA")</f>
        <v/>
      </c>
      <c r="IG5">
        <f>BDS("FTRCQ US Equity","SUPPLY_CHAIN_SUPPLIERS_FULL_DATA")</f>
        <v/>
      </c>
      <c r="IU5">
        <f>BDS("FTRCQ US Equity","SUPPLY_CHAIN_CUSTOMERS_FULL_DATA")</f>
        <v/>
      </c>
      <c r="JK5">
        <f>BDS("TMO US Equity","SUPPLY_CHAIN_SUPPLIERS_FULL_DATA")</f>
        <v/>
      </c>
      <c r="JY5">
        <f>BDS("TMO US Equity","SUPPLY_CHAIN_CUSTOMERS_FULL_DATA")</f>
        <v/>
      </c>
      <c r="KO5">
        <f>BDS("ON US Equity","SUPPLY_CHAIN_SUPPLIERS_FULL_DATA")</f>
        <v/>
      </c>
      <c r="LC5">
        <f>BDS("ON US Equity","SUPPLY_CHAIN_CUSTOMERS_FULL_DATA")</f>
        <v/>
      </c>
      <c r="LS5">
        <f>BDS("118569Q US Equity","SUPPLY_CHAIN_SUPPLIERS_FULL_DATA")</f>
        <v/>
      </c>
      <c r="MG5">
        <f>BDS("118569Q US Equity","SUPPLY_CHAIN_CUSTOMERS_FULL_DATA")</f>
        <v/>
      </c>
      <c r="MW5">
        <f>BDS("ABT US Equity","SUPPLY_CHAIN_SUPPLIERS_FULL_DATA")</f>
        <v/>
      </c>
      <c r="NK5">
        <f>BDS("ABT US Equity","SUPPLY_CHAIN_CUSTOMERS_FULL_DATA")</f>
        <v/>
      </c>
      <c r="OA5">
        <f>BDS("1255173D US Equity","SUPPLY_CHAIN_SUPPLIERS_FULL_DATA")</f>
        <v/>
      </c>
      <c r="OO5">
        <f>BDS("1255173D US Equity","SUPPLY_CHAIN_CUSTOMERS_FULL_DATA")</f>
        <v/>
      </c>
      <c r="PE5">
        <f>BDS("VYX US Equity","SUPPLY_CHAIN_SUPPLIERS_FULL_DATA")</f>
        <v/>
      </c>
      <c r="PS5">
        <f>BDS("VYX US Equity","SUPPLY_CHAIN_CUSTOMERS_FULL_DATA")</f>
        <v/>
      </c>
      <c r="QI5">
        <f>BDS("PBF US Equity","SUPPLY_CHAIN_SUPPLIERS_FULL_DATA")</f>
        <v/>
      </c>
      <c r="QW5">
        <f>BDS("PBF US Equity","SUPPLY_CHAIN_CUSTOMERS_FULL_DATA")</f>
        <v/>
      </c>
      <c r="RM5">
        <f>BDS("WM US Equity","SUPPLY_CHAIN_SUPPLIERS_FULL_DATA")</f>
        <v/>
      </c>
      <c r="SA5">
        <f>BDS("WM US Equity","SUPPLY_CHAIN_CUSTOMERS_FULL_DATA")</f>
        <v/>
      </c>
      <c r="SQ5">
        <f>BDS("PRETQ US Equity","SUPPLY_CHAIN_SUPPLIERS_FULL_DATA")</f>
        <v/>
      </c>
      <c r="TE5">
        <f>BDS("PRETQ US Equity","SUPPLY_CHAIN_CUSTOMERS_FULL_DATA")</f>
        <v/>
      </c>
      <c r="TU5">
        <f>BDS("SCHW US Equity","SUPPLY_CHAIN_SUPPLIERS_FULL_DATA")</f>
        <v/>
      </c>
      <c r="UI5">
        <f>BDS("SCHW US Equity","SUPPLY_CHAIN_CUSTOMERS_FULL_DATA")</f>
        <v/>
      </c>
      <c r="UY5">
        <f>BDS("ATTM US Equity","SUPPLY_CHAIN_SUPPLIERS_FULL_DATA")</f>
        <v/>
      </c>
      <c r="VM5">
        <f>BDS("ATTM US Equity","SUPPLY_CHAIN_CUSTOMERS_FULL_DATA")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1321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1322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1323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1324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1325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1326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1327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1328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1329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1330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1331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1332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1333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1334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1335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1336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1337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1338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1339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1340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FITB US Equity</t>
        </is>
      </c>
      <c r="AE2" s="3" t="inlineStr">
        <is>
          <t>LOW US Equity</t>
        </is>
      </c>
      <c r="BI2" s="3" t="inlineStr">
        <is>
          <t>CAR US Equity</t>
        </is>
      </c>
      <c r="CM2" s="3" t="inlineStr">
        <is>
          <t>9876566D US Equity</t>
        </is>
      </c>
      <c r="DQ2" s="3" t="inlineStr">
        <is>
          <t>nan Equity</t>
        </is>
      </c>
      <c r="EU2" s="3" t="inlineStr">
        <is>
          <t>WINMQ US Equity</t>
        </is>
      </c>
      <c r="FY2" s="3" t="inlineStr">
        <is>
          <t>ACKH US Equity</t>
        </is>
      </c>
      <c r="HC2" s="3" t="inlineStr">
        <is>
          <t>WCOEQ US Equity</t>
        </is>
      </c>
      <c r="IG2" s="3" t="inlineStr">
        <is>
          <t>OMX US Equity</t>
        </is>
      </c>
      <c r="JK2" s="3" t="inlineStr">
        <is>
          <t>MNKTQ US Equity</t>
        </is>
      </c>
      <c r="KO2" s="3" t="inlineStr">
        <is>
          <t>EPD US Equity</t>
        </is>
      </c>
      <c r="LS2" s="3" t="inlineStr">
        <is>
          <t>MTB US Equity</t>
        </is>
      </c>
      <c r="MW2" s="3" t="inlineStr">
        <is>
          <t>3406956Q US Equity</t>
        </is>
      </c>
      <c r="OA2" s="3" t="inlineStr">
        <is>
          <t>LUV US Equity</t>
        </is>
      </c>
      <c r="PE2" s="3" t="inlineStr">
        <is>
          <t>IBM US Equity</t>
        </is>
      </c>
      <c r="QI2" s="3" t="inlineStr">
        <is>
          <t>SNDK US Equity</t>
        </is>
      </c>
      <c r="RM2" s="3" t="inlineStr">
        <is>
          <t>3867693Z US Equity</t>
        </is>
      </c>
      <c r="SQ2" s="3" t="inlineStr">
        <is>
          <t>CRBC US Equity</t>
        </is>
      </c>
      <c r="TU2" s="3" t="inlineStr">
        <is>
          <t>SPNX US Equity</t>
        </is>
      </c>
      <c r="UY2" s="3" t="inlineStr">
        <is>
          <t>NEX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BDS("FITB US Equity","SUPPLY_CHAIN_SUPPLIERS_FULL_DATA")</f>
        <v/>
      </c>
      <c r="O5">
        <f>BDS("FITB US Equity","SUPPLY_CHAIN_CUSTOMERS_FULL_DATA")</f>
        <v/>
      </c>
      <c r="AE5">
        <f>BDS("LOW US Equity","SUPPLY_CHAIN_SUPPLIERS_FULL_DATA")</f>
        <v/>
      </c>
      <c r="AS5">
        <f>BDS("LOW US Equity","SUPPLY_CHAIN_CUSTOMERS_FULL_DATA")</f>
        <v/>
      </c>
      <c r="BI5">
        <f>BDS("CAR US Equity","SUPPLY_CHAIN_SUPPLIERS_FULL_DATA")</f>
        <v/>
      </c>
      <c r="BW5">
        <f>BDS("CAR US Equity","SUPPLY_CHAIN_CUSTOMERS_FULL_DATA")</f>
        <v/>
      </c>
      <c r="CM5">
        <f>BDS("9876566D US Equity","SUPPLY_CHAIN_SUPPLIERS_FULL_DATA")</f>
        <v/>
      </c>
      <c r="DA5">
        <f>BDS("9876566D US Equity","SUPPLY_CHAIN_CUSTOMERS_FULL_DATA")</f>
        <v/>
      </c>
      <c r="DQ5">
        <f>BDS("nan Equity","SUPPLY_CHAIN_SUPPLIERS_FULL_DATA")</f>
        <v/>
      </c>
      <c r="EE5">
        <f>BDS("nan Equity","SUPPLY_CHAIN_CUSTOMERS_FULL_DATA")</f>
        <v/>
      </c>
      <c r="EU5">
        <f>BDS("WINMQ US Equity","SUPPLY_CHAIN_SUPPLIERS_FULL_DATA")</f>
        <v/>
      </c>
      <c r="FI5">
        <f>BDS("WINMQ US Equity","SUPPLY_CHAIN_CUSTOMERS_FULL_DATA")</f>
        <v/>
      </c>
      <c r="FY5">
        <f>BDS("ACKH US Equity","SUPPLY_CHAIN_SUPPLIERS_FULL_DATA")</f>
        <v/>
      </c>
      <c r="GM5">
        <f>BDS("ACKH US Equity","SUPPLY_CHAIN_CUSTOMERS_FULL_DATA")</f>
        <v/>
      </c>
      <c r="HC5">
        <f>BDS("WCOEQ US Equity","SUPPLY_CHAIN_SUPPLIERS_FULL_DATA")</f>
        <v/>
      </c>
      <c r="HQ5">
        <f>BDS("WCOEQ US Equity","SUPPLY_CHAIN_CUSTOMERS_FULL_DATA")</f>
        <v/>
      </c>
      <c r="IG5">
        <f>BDS("OMX US Equity","SUPPLY_CHAIN_SUPPLIERS_FULL_DATA")</f>
        <v/>
      </c>
      <c r="IU5">
        <f>BDS("OMX US Equity","SUPPLY_CHAIN_CUSTOMERS_FULL_DATA")</f>
        <v/>
      </c>
      <c r="JK5">
        <f>BDS("MNKTQ US Equity","SUPPLY_CHAIN_SUPPLIERS_FULL_DATA")</f>
        <v/>
      </c>
      <c r="JY5">
        <f>BDS("MNKTQ US Equity","SUPPLY_CHAIN_CUSTOMERS_FULL_DATA")</f>
        <v/>
      </c>
      <c r="KO5">
        <f>BDS("EPD US Equity","SUPPLY_CHAIN_SUPPLIERS_FULL_DATA")</f>
        <v/>
      </c>
      <c r="LC5">
        <f>BDS("EPD US Equity","SUPPLY_CHAIN_CUSTOMERS_FULL_DATA")</f>
        <v/>
      </c>
      <c r="LS5">
        <f>BDS("MTB US Equity","SUPPLY_CHAIN_SUPPLIERS_FULL_DATA")</f>
        <v/>
      </c>
      <c r="MG5">
        <f>BDS("MTB US Equity","SUPPLY_CHAIN_CUSTOMERS_FULL_DATA")</f>
        <v/>
      </c>
      <c r="MW5">
        <f>BDS("3406956Q US Equity","SUPPLY_CHAIN_SUPPLIERS_FULL_DATA")</f>
        <v/>
      </c>
      <c r="NK5">
        <f>BDS("3406956Q US Equity","SUPPLY_CHAIN_CUSTOMERS_FULL_DATA")</f>
        <v/>
      </c>
      <c r="OA5">
        <f>BDS("LUV US Equity","SUPPLY_CHAIN_SUPPLIERS_FULL_DATA")</f>
        <v/>
      </c>
      <c r="OO5">
        <f>BDS("LUV US Equity","SUPPLY_CHAIN_CUSTOMERS_FULL_DATA")</f>
        <v/>
      </c>
      <c r="PE5">
        <f>BDS("IBM US Equity","SUPPLY_CHAIN_SUPPLIERS_FULL_DATA")</f>
        <v/>
      </c>
      <c r="PS5">
        <f>BDS("IBM US Equity","SUPPLY_CHAIN_CUSTOMERS_FULL_DATA")</f>
        <v/>
      </c>
      <c r="QI5">
        <f>BDS("SNDK US Equity","SUPPLY_CHAIN_SUPPLIERS_FULL_DATA")</f>
        <v/>
      </c>
      <c r="QW5">
        <f>BDS("SNDK US Equity","SUPPLY_CHAIN_CUSTOMERS_FULL_DATA")</f>
        <v/>
      </c>
      <c r="RM5">
        <f>BDS("3867693Z US Equity","SUPPLY_CHAIN_SUPPLIERS_FULL_DATA")</f>
        <v/>
      </c>
      <c r="SA5">
        <f>BDS("3867693Z US Equity","SUPPLY_CHAIN_CUSTOMERS_FULL_DATA")</f>
        <v/>
      </c>
      <c r="SQ5">
        <f>BDS("CRBC US Equity","SUPPLY_CHAIN_SUPPLIERS_FULL_DATA")</f>
        <v/>
      </c>
      <c r="TE5">
        <f>BDS("CRBC US Equity","SUPPLY_CHAIN_CUSTOMERS_FULL_DATA")</f>
        <v/>
      </c>
      <c r="TU5">
        <f>BDS("SPNX US Equity","SUPPLY_CHAIN_SUPPLIERS_FULL_DATA")</f>
        <v/>
      </c>
      <c r="UI5">
        <f>BDS("SPNX US Equity","SUPPLY_CHAIN_CUSTOMERS_FULL_DATA")</f>
        <v/>
      </c>
      <c r="UY5">
        <f>BDS("NEX US Equity","SUPPLY_CHAIN_SUPPLIERS_FULL_DATA")</f>
        <v/>
      </c>
      <c r="VM5">
        <f>BDS("NEX US Equity","SUPPLY_CHAIN_CUSTOMERS_FULL_DATA")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1341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1342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1343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1344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1345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1346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1347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1348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1349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1350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1351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1352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1353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1354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1355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1356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1357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1358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1359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1360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9990819D US Equity</t>
        </is>
      </c>
      <c r="AE2" s="3" t="inlineStr">
        <is>
          <t>HOLX US Equity</t>
        </is>
      </c>
      <c r="BI2" s="3" t="inlineStr">
        <is>
          <t>BRCD US Equity</t>
        </is>
      </c>
      <c r="CM2" s="3" t="inlineStr">
        <is>
          <t>CAR US Equity</t>
        </is>
      </c>
      <c r="DQ2" s="3" t="inlineStr">
        <is>
          <t>INSW US Equity</t>
        </is>
      </c>
      <c r="EU2" s="3" t="inlineStr">
        <is>
          <t>MTZ US Equity</t>
        </is>
      </c>
      <c r="FY2" s="3" t="inlineStr">
        <is>
          <t>391243Q US Equity</t>
        </is>
      </c>
      <c r="HC2" s="3" t="inlineStr">
        <is>
          <t>2258717D US Equity</t>
        </is>
      </c>
      <c r="IG2" s="3" t="inlineStr">
        <is>
          <t>LLY US Equity</t>
        </is>
      </c>
      <c r="JK2" s="3" t="inlineStr">
        <is>
          <t>CEMJQ US Equity</t>
        </is>
      </c>
      <c r="KO2" s="3" t="inlineStr">
        <is>
          <t>NCC US Equity</t>
        </is>
      </c>
      <c r="LS2" s="3" t="inlineStr">
        <is>
          <t>DCLK US Equity</t>
        </is>
      </c>
      <c r="MW2" s="3" t="inlineStr">
        <is>
          <t>BBIO US Equity</t>
        </is>
      </c>
      <c r="OA2" s="3" t="inlineStr">
        <is>
          <t>MVL US Equity</t>
        </is>
      </c>
      <c r="PE2" s="3" t="inlineStr">
        <is>
          <t>VSUNQ US Equity</t>
        </is>
      </c>
      <c r="QI2" s="3" t="inlineStr">
        <is>
          <t>CKH US Equity</t>
        </is>
      </c>
      <c r="RM2" s="3" t="inlineStr">
        <is>
          <t>PPBI US Equity</t>
        </is>
      </c>
      <c r="SQ2" s="3" t="inlineStr">
        <is>
          <t>MDT US Equity</t>
        </is>
      </c>
      <c r="TU2" s="3" t="inlineStr">
        <is>
          <t>VIRT US Equity</t>
        </is>
      </c>
      <c r="UY2" s="3" t="inlineStr">
        <is>
          <t>CMA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BDS("9990819D US Equity","SUPPLY_CHAIN_SUPPLIERS_FULL_DATA")</f>
        <v/>
      </c>
      <c r="O5">
        <f>BDS("9990819D US Equity","SUPPLY_CHAIN_CUSTOMERS_FULL_DATA")</f>
        <v/>
      </c>
      <c r="AE5">
        <f>BDS("HOLX US Equity","SUPPLY_CHAIN_SUPPLIERS_FULL_DATA")</f>
        <v/>
      </c>
      <c r="AS5">
        <f>BDS("HOLX US Equity","SUPPLY_CHAIN_CUSTOMERS_FULL_DATA")</f>
        <v/>
      </c>
      <c r="BI5">
        <f>BDS("BRCD US Equity","SUPPLY_CHAIN_SUPPLIERS_FULL_DATA")</f>
        <v/>
      </c>
      <c r="BW5">
        <f>BDS("BRCD US Equity","SUPPLY_CHAIN_CUSTOMERS_FULL_DATA")</f>
        <v/>
      </c>
      <c r="CM5">
        <f>BDS("CAR US Equity","SUPPLY_CHAIN_SUPPLIERS_FULL_DATA")</f>
        <v/>
      </c>
      <c r="DA5">
        <f>BDS("CAR US Equity","SUPPLY_CHAIN_CUSTOMERS_FULL_DATA")</f>
        <v/>
      </c>
      <c r="DQ5">
        <f>BDS("INSW US Equity","SUPPLY_CHAIN_SUPPLIERS_FULL_DATA")</f>
        <v/>
      </c>
      <c r="EE5">
        <f>BDS("INSW US Equity","SUPPLY_CHAIN_CUSTOMERS_FULL_DATA")</f>
        <v/>
      </c>
      <c r="EU5">
        <f>BDS("MTZ US Equity","SUPPLY_CHAIN_SUPPLIERS_FULL_DATA")</f>
        <v/>
      </c>
      <c r="FI5">
        <f>BDS("MTZ US Equity","SUPPLY_CHAIN_CUSTOMERS_FULL_DATA")</f>
        <v/>
      </c>
      <c r="FY5">
        <f>BDS("391243Q US Equity","SUPPLY_CHAIN_SUPPLIERS_FULL_DATA")</f>
        <v/>
      </c>
      <c r="GM5">
        <f>BDS("391243Q US Equity","SUPPLY_CHAIN_CUSTOMERS_FULL_DATA")</f>
        <v/>
      </c>
      <c r="HC5">
        <f>BDS("2258717D US Equity","SUPPLY_CHAIN_SUPPLIERS_FULL_DATA")</f>
        <v/>
      </c>
      <c r="HQ5">
        <f>BDS("2258717D US Equity","SUPPLY_CHAIN_CUSTOMERS_FULL_DATA")</f>
        <v/>
      </c>
      <c r="IG5">
        <f>BDS("LLY US Equity","SUPPLY_CHAIN_SUPPLIERS_FULL_DATA")</f>
        <v/>
      </c>
      <c r="IU5">
        <f>BDS("LLY US Equity","SUPPLY_CHAIN_CUSTOMERS_FULL_DATA")</f>
        <v/>
      </c>
      <c r="JK5">
        <f>BDS("CEMJQ US Equity","SUPPLY_CHAIN_SUPPLIERS_FULL_DATA")</f>
        <v/>
      </c>
      <c r="JY5">
        <f>BDS("CEMJQ US Equity","SUPPLY_CHAIN_CUSTOMERS_FULL_DATA")</f>
        <v/>
      </c>
      <c r="KO5">
        <f>BDS("NCC US Equity","SUPPLY_CHAIN_SUPPLIERS_FULL_DATA")</f>
        <v/>
      </c>
      <c r="LC5">
        <f>BDS("NCC US Equity","SUPPLY_CHAIN_CUSTOMERS_FULL_DATA")</f>
        <v/>
      </c>
      <c r="LS5">
        <f>BDS("DCLK US Equity","SUPPLY_CHAIN_SUPPLIERS_FULL_DATA")</f>
        <v/>
      </c>
      <c r="MG5">
        <f>BDS("DCLK US Equity","SUPPLY_CHAIN_CUSTOMERS_FULL_DATA")</f>
        <v/>
      </c>
      <c r="MW5">
        <f>BDS("BBIO US Equity","SUPPLY_CHAIN_SUPPLIERS_FULL_DATA")</f>
        <v/>
      </c>
      <c r="NK5">
        <f>BDS("BBIO US Equity","SUPPLY_CHAIN_CUSTOMERS_FULL_DATA")</f>
        <v/>
      </c>
      <c r="OA5">
        <f>BDS("MVL US Equity","SUPPLY_CHAIN_SUPPLIERS_FULL_DATA")</f>
        <v/>
      </c>
      <c r="OO5">
        <f>BDS("MVL US Equity","SUPPLY_CHAIN_CUSTOMERS_FULL_DATA")</f>
        <v/>
      </c>
      <c r="PE5">
        <f>BDS("VSUNQ US Equity","SUPPLY_CHAIN_SUPPLIERS_FULL_DATA")</f>
        <v/>
      </c>
      <c r="PS5">
        <f>BDS("VSUNQ US Equity","SUPPLY_CHAIN_CUSTOMERS_FULL_DATA")</f>
        <v/>
      </c>
      <c r="QI5">
        <f>BDS("CKH US Equity","SUPPLY_CHAIN_SUPPLIERS_FULL_DATA")</f>
        <v/>
      </c>
      <c r="QW5">
        <f>BDS("CKH US Equity","SUPPLY_CHAIN_CUSTOMERS_FULL_DATA")</f>
        <v/>
      </c>
      <c r="RM5">
        <f>BDS("PPBI US Equity","SUPPLY_CHAIN_SUPPLIERS_FULL_DATA")</f>
        <v/>
      </c>
      <c r="SA5">
        <f>BDS("PPBI US Equity","SUPPLY_CHAIN_CUSTOMERS_FULL_DATA")</f>
        <v/>
      </c>
      <c r="SQ5">
        <f>BDS("MDT US Equity","SUPPLY_CHAIN_SUPPLIERS_FULL_DATA")</f>
        <v/>
      </c>
      <c r="TE5">
        <f>BDS("MDT US Equity","SUPPLY_CHAIN_CUSTOMERS_FULL_DATA")</f>
        <v/>
      </c>
      <c r="TU5">
        <f>BDS("VIRT US Equity","SUPPLY_CHAIN_SUPPLIERS_FULL_DATA")</f>
        <v/>
      </c>
      <c r="UI5">
        <f>BDS("VIRT US Equity","SUPPLY_CHAIN_CUSTOMERS_FULL_DATA")</f>
        <v/>
      </c>
      <c r="UY5">
        <f>BDS("CMA US Equity","SUPPLY_CHAIN_SUPPLIERS_FULL_DATA")</f>
        <v/>
      </c>
      <c r="VM5">
        <f>BDS("CMA US Equity","SUPPLY_CHAIN_CUSTOMERS_FULL_DATA")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1361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1362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1363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1364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1365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1366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1367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1368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1369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1370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1371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1372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1373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1374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1375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1376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1377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1378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1379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1380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TIN US Equity</t>
        </is>
      </c>
      <c r="AE2" s="3" t="inlineStr">
        <is>
          <t>MOVIQ US Equity</t>
        </is>
      </c>
      <c r="BI2" s="3" t="inlineStr">
        <is>
          <t>nan Equity</t>
        </is>
      </c>
      <c r="CM2" s="3" t="inlineStr">
        <is>
          <t>ORLY US Equity</t>
        </is>
      </c>
      <c r="DQ2" s="3" t="inlineStr">
        <is>
          <t>9990822D US Equity</t>
        </is>
      </c>
      <c r="EU2" s="3" t="inlineStr">
        <is>
          <t>SOV US Equity</t>
        </is>
      </c>
      <c r="FY2" s="3" t="inlineStr">
        <is>
          <t>HOPE US Equity</t>
        </is>
      </c>
      <c r="HC2" s="3" t="inlineStr">
        <is>
          <t>1746513D US Equity</t>
        </is>
      </c>
      <c r="IG2" s="3" t="inlineStr">
        <is>
          <t>UBSI US Equity</t>
        </is>
      </c>
      <c r="JK2" s="3" t="inlineStr">
        <is>
          <t>TFC US Equity</t>
        </is>
      </c>
      <c r="KO2" s="3" t="inlineStr">
        <is>
          <t>ZBH US Equity</t>
        </is>
      </c>
      <c r="LS2" s="3" t="inlineStr">
        <is>
          <t>IEP US Equity</t>
        </is>
      </c>
      <c r="MW2" s="3" t="inlineStr">
        <is>
          <t>CAH US Equity</t>
        </is>
      </c>
      <c r="OA2" s="3" t="inlineStr">
        <is>
          <t>LXP US Equity</t>
        </is>
      </c>
      <c r="PE2" s="3" t="inlineStr">
        <is>
          <t>GE US Equity</t>
        </is>
      </c>
      <c r="QI2" s="3" t="inlineStr">
        <is>
          <t>3346Q US Equity</t>
        </is>
      </c>
      <c r="RM2" s="3" t="inlineStr">
        <is>
          <t>LEHMQ US Equity</t>
        </is>
      </c>
      <c r="SQ2" s="3" t="inlineStr">
        <is>
          <t>FFBC US Equity</t>
        </is>
      </c>
      <c r="TU2" s="3" t="inlineStr">
        <is>
          <t>TXT US Equity</t>
        </is>
      </c>
      <c r="UY2" s="3" t="inlineStr">
        <is>
          <t>IBTX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BDS("TIN US Equity","SUPPLY_CHAIN_SUPPLIERS_FULL_DATA")</f>
        <v/>
      </c>
      <c r="O5">
        <f>BDS("TIN US Equity","SUPPLY_CHAIN_CUSTOMERS_FULL_DATA")</f>
        <v/>
      </c>
      <c r="AE5">
        <f>BDS("MOVIQ US Equity","SUPPLY_CHAIN_SUPPLIERS_FULL_DATA")</f>
        <v/>
      </c>
      <c r="AS5">
        <f>BDS("MOVIQ US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BDS("ORLY US Equity","SUPPLY_CHAIN_SUPPLIERS_FULL_DATA")</f>
        <v/>
      </c>
      <c r="DA5">
        <f>BDS("ORLY US Equity","SUPPLY_CHAIN_CUSTOMERS_FULL_DATA")</f>
        <v/>
      </c>
      <c r="DQ5">
        <f>BDS("9990822D US Equity","SUPPLY_CHAIN_SUPPLIERS_FULL_DATA")</f>
        <v/>
      </c>
      <c r="EE5">
        <f>BDS("9990822D US Equity","SUPPLY_CHAIN_CUSTOMERS_FULL_DATA")</f>
        <v/>
      </c>
      <c r="EU5">
        <f>BDS("SOV US Equity","SUPPLY_CHAIN_SUPPLIERS_FULL_DATA")</f>
        <v/>
      </c>
      <c r="FI5">
        <f>BDS("SOV US Equity","SUPPLY_CHAIN_CUSTOMERS_FULL_DATA")</f>
        <v/>
      </c>
      <c r="FY5">
        <f>BDS("HOPE US Equity","SUPPLY_CHAIN_SUPPLIERS_FULL_DATA")</f>
        <v/>
      </c>
      <c r="GM5">
        <f>BDS("HOPE US Equity","SUPPLY_CHAIN_CUSTOMERS_FULL_DATA")</f>
        <v/>
      </c>
      <c r="HC5">
        <f>BDS("1746513D US Equity","SUPPLY_CHAIN_SUPPLIERS_FULL_DATA")</f>
        <v/>
      </c>
      <c r="HQ5">
        <f>BDS("1746513D US Equity","SUPPLY_CHAIN_CUSTOMERS_FULL_DATA")</f>
        <v/>
      </c>
      <c r="IG5">
        <f>BDS("UBSI US Equity","SUPPLY_CHAIN_SUPPLIERS_FULL_DATA")</f>
        <v/>
      </c>
      <c r="IU5">
        <f>BDS("UBSI US Equity","SUPPLY_CHAIN_CUSTOMERS_FULL_DATA")</f>
        <v/>
      </c>
      <c r="JK5">
        <f>BDS("TFC US Equity","SUPPLY_CHAIN_SUPPLIERS_FULL_DATA")</f>
        <v/>
      </c>
      <c r="JY5">
        <f>BDS("TFC US Equity","SUPPLY_CHAIN_CUSTOMERS_FULL_DATA")</f>
        <v/>
      </c>
      <c r="KO5">
        <f>BDS("ZBH US Equity","SUPPLY_CHAIN_SUPPLIERS_FULL_DATA")</f>
        <v/>
      </c>
      <c r="LC5">
        <f>BDS("ZBH US Equity","SUPPLY_CHAIN_CUSTOMERS_FULL_DATA")</f>
        <v/>
      </c>
      <c r="LS5">
        <f>BDS("IEP US Equity","SUPPLY_CHAIN_SUPPLIERS_FULL_DATA")</f>
        <v/>
      </c>
      <c r="MG5">
        <f>BDS("IEP US Equity","SUPPLY_CHAIN_CUSTOMERS_FULL_DATA")</f>
        <v/>
      </c>
      <c r="MW5">
        <f>BDS("CAH US Equity","SUPPLY_CHAIN_SUPPLIERS_FULL_DATA")</f>
        <v/>
      </c>
      <c r="NK5">
        <f>BDS("CAH US Equity","SUPPLY_CHAIN_CUSTOMERS_FULL_DATA")</f>
        <v/>
      </c>
      <c r="OA5">
        <f>BDS("LXP US Equity","SUPPLY_CHAIN_SUPPLIERS_FULL_DATA")</f>
        <v/>
      </c>
      <c r="OO5">
        <f>BDS("LXP US Equity","SUPPLY_CHAIN_CUSTOMERS_FULL_DATA")</f>
        <v/>
      </c>
      <c r="PE5">
        <f>BDS("GE US Equity","SUPPLY_CHAIN_SUPPLIERS_FULL_DATA")</f>
        <v/>
      </c>
      <c r="PS5">
        <f>BDS("GE US Equity","SUPPLY_CHAIN_CUSTOMERS_FULL_DATA")</f>
        <v/>
      </c>
      <c r="QI5">
        <f>BDS("3346Q US Equity","SUPPLY_CHAIN_SUPPLIERS_FULL_DATA")</f>
        <v/>
      </c>
      <c r="QW5">
        <f>BDS("3346Q US Equity","SUPPLY_CHAIN_CUSTOMERS_FULL_DATA")</f>
        <v/>
      </c>
      <c r="RM5">
        <f>BDS("LEHMQ US Equity","SUPPLY_CHAIN_SUPPLIERS_FULL_DATA")</f>
        <v/>
      </c>
      <c r="SA5">
        <f>BDS("LEHMQ US Equity","SUPPLY_CHAIN_CUSTOMERS_FULL_DATA")</f>
        <v/>
      </c>
      <c r="SQ5">
        <f>BDS("FFBC US Equity","SUPPLY_CHAIN_SUPPLIERS_FULL_DATA")</f>
        <v/>
      </c>
      <c r="TE5">
        <f>BDS("FFBC US Equity","SUPPLY_CHAIN_CUSTOMERS_FULL_DATA")</f>
        <v/>
      </c>
      <c r="TU5">
        <f>BDS("TXT US Equity","SUPPLY_CHAIN_SUPPLIERS_FULL_DATA")</f>
        <v/>
      </c>
      <c r="UI5">
        <f>BDS("TXT US Equity","SUPPLY_CHAIN_CUSTOMERS_FULL_DATA")</f>
        <v/>
      </c>
      <c r="UY5">
        <f>BDS("IBTX US Equity","SUPPLY_CHAIN_SUPPLIERS_FULL_DATA")</f>
        <v/>
      </c>
      <c r="VM5">
        <f>BDS("IBTX US Equity","SUPPLY_CHAIN_CUSTOMERS_FULL_DATA")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1381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1382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1383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1384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1385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1386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1387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1388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1389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1390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1391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1392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1393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1394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1395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1396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1397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1398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1399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1400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LHCG US Equity</t>
        </is>
      </c>
      <c r="AE2" s="3" t="inlineStr">
        <is>
          <t>EVRI US Equity</t>
        </is>
      </c>
      <c r="BI2" s="3" t="inlineStr">
        <is>
          <t>EMR US Equity</t>
        </is>
      </c>
      <c r="CM2" s="3" t="inlineStr">
        <is>
          <t>WAMUQ US Equity</t>
        </is>
      </c>
      <c r="DQ2" s="3" t="inlineStr">
        <is>
          <t>WDC US Equity</t>
        </is>
      </c>
      <c r="EU2" s="3" t="inlineStr">
        <is>
          <t>SDW US Equity</t>
        </is>
      </c>
      <c r="FY2" s="3" t="inlineStr">
        <is>
          <t>RS US Equity</t>
        </is>
      </c>
      <c r="HC2" s="3" t="inlineStr">
        <is>
          <t>ARGO US Equity</t>
        </is>
      </c>
      <c r="IG2" s="3" t="inlineStr">
        <is>
          <t>IFF US Equity</t>
        </is>
      </c>
      <c r="JK2" s="3" t="inlineStr">
        <is>
          <t>STZ US Equity</t>
        </is>
      </c>
      <c r="KO2" s="3" t="inlineStr">
        <is>
          <t>1858968D US Equity</t>
        </is>
      </c>
      <c r="LS2" s="3" t="inlineStr">
        <is>
          <t>SITC US Equity</t>
        </is>
      </c>
      <c r="MW2" s="3" t="inlineStr">
        <is>
          <t>9966911D US Equity</t>
        </is>
      </c>
      <c r="OA2" s="3" t="inlineStr">
        <is>
          <t>2297161Q US Equity</t>
        </is>
      </c>
      <c r="PE2" s="3" t="inlineStr">
        <is>
          <t>1837572D US Equity</t>
        </is>
      </c>
      <c r="QI2" s="3" t="inlineStr">
        <is>
          <t>CNX US Equity</t>
        </is>
      </c>
      <c r="RM2" s="3" t="inlineStr">
        <is>
          <t>TFX US Equity</t>
        </is>
      </c>
      <c r="SQ2" s="3" t="inlineStr">
        <is>
          <t>PXP US Equity</t>
        </is>
      </c>
      <c r="TU2" s="3" t="inlineStr">
        <is>
          <t>BRK/A US Equity</t>
        </is>
      </c>
      <c r="UY2" s="3" t="inlineStr">
        <is>
          <t>nan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BDS("LHCG US Equity","SUPPLY_CHAIN_SUPPLIERS_FULL_DATA")</f>
        <v/>
      </c>
      <c r="O5">
        <f>BDS("LHCG US Equity","SUPPLY_CHAIN_CUSTOMERS_FULL_DATA")</f>
        <v/>
      </c>
      <c r="AE5">
        <f>BDS("EVRI US Equity","SUPPLY_CHAIN_SUPPLIERS_FULL_DATA")</f>
        <v/>
      </c>
      <c r="AS5">
        <f>BDS("EVRI US Equity","SUPPLY_CHAIN_CUSTOMERS_FULL_DATA")</f>
        <v/>
      </c>
      <c r="BI5">
        <f>BDS("EMR US Equity","SUPPLY_CHAIN_SUPPLIERS_FULL_DATA")</f>
        <v/>
      </c>
      <c r="BW5">
        <f>BDS("EMR US Equity","SUPPLY_CHAIN_CUSTOMERS_FULL_DATA")</f>
        <v/>
      </c>
      <c r="CM5">
        <f>BDS("WAMUQ US Equity","SUPPLY_CHAIN_SUPPLIERS_FULL_DATA")</f>
        <v/>
      </c>
      <c r="DA5">
        <f>BDS("WAMUQ US Equity","SUPPLY_CHAIN_CUSTOMERS_FULL_DATA")</f>
        <v/>
      </c>
      <c r="DQ5">
        <f>BDS("WDC US Equity","SUPPLY_CHAIN_SUPPLIERS_FULL_DATA")</f>
        <v/>
      </c>
      <c r="EE5">
        <f>BDS("WDC US Equity","SUPPLY_CHAIN_CUSTOMERS_FULL_DATA")</f>
        <v/>
      </c>
      <c r="EU5">
        <f>BDS("SDW US Equity","SUPPLY_CHAIN_SUPPLIERS_FULL_DATA")</f>
        <v/>
      </c>
      <c r="FI5">
        <f>BDS("SDW US Equity","SUPPLY_CHAIN_CUSTOMERS_FULL_DATA")</f>
        <v/>
      </c>
      <c r="FY5">
        <f>BDS("RS US Equity","SUPPLY_CHAIN_SUPPLIERS_FULL_DATA")</f>
        <v/>
      </c>
      <c r="GM5">
        <f>BDS("RS US Equity","SUPPLY_CHAIN_CUSTOMERS_FULL_DATA")</f>
        <v/>
      </c>
      <c r="HC5">
        <f>BDS("ARGO US Equity","SUPPLY_CHAIN_SUPPLIERS_FULL_DATA")</f>
        <v/>
      </c>
      <c r="HQ5">
        <f>BDS("ARGO US Equity","SUPPLY_CHAIN_CUSTOMERS_FULL_DATA")</f>
        <v/>
      </c>
      <c r="IG5">
        <f>BDS("IFF US Equity","SUPPLY_CHAIN_SUPPLIERS_FULL_DATA")</f>
        <v/>
      </c>
      <c r="IU5">
        <f>BDS("IFF US Equity","SUPPLY_CHAIN_CUSTOMERS_FULL_DATA")</f>
        <v/>
      </c>
      <c r="JK5">
        <f>BDS("STZ US Equity","SUPPLY_CHAIN_SUPPLIERS_FULL_DATA")</f>
        <v/>
      </c>
      <c r="JY5">
        <f>BDS("STZ US Equity","SUPPLY_CHAIN_CUSTOMERS_FULL_DATA")</f>
        <v/>
      </c>
      <c r="KO5">
        <f>BDS("1858968D US Equity","SUPPLY_CHAIN_SUPPLIERS_FULL_DATA")</f>
        <v/>
      </c>
      <c r="LC5">
        <f>BDS("1858968D US Equity","SUPPLY_CHAIN_CUSTOMERS_FULL_DATA")</f>
        <v/>
      </c>
      <c r="LS5">
        <f>BDS("SITC US Equity","SUPPLY_CHAIN_SUPPLIERS_FULL_DATA")</f>
        <v/>
      </c>
      <c r="MG5">
        <f>BDS("SITC US Equity","SUPPLY_CHAIN_CUSTOMERS_FULL_DATA")</f>
        <v/>
      </c>
      <c r="MW5">
        <f>BDS("9966911D US Equity","SUPPLY_CHAIN_SUPPLIERS_FULL_DATA")</f>
        <v/>
      </c>
      <c r="NK5">
        <f>BDS("9966911D US Equity","SUPPLY_CHAIN_CUSTOMERS_FULL_DATA")</f>
        <v/>
      </c>
      <c r="OA5">
        <f>BDS("2297161Q US Equity","SUPPLY_CHAIN_SUPPLIERS_FULL_DATA")</f>
        <v/>
      </c>
      <c r="OO5">
        <f>BDS("2297161Q US Equity","SUPPLY_CHAIN_CUSTOMERS_FULL_DATA")</f>
        <v/>
      </c>
      <c r="PE5">
        <f>BDS("1837572D US Equity","SUPPLY_CHAIN_SUPPLIERS_FULL_DATA")</f>
        <v/>
      </c>
      <c r="PS5">
        <f>BDS("1837572D US Equity","SUPPLY_CHAIN_CUSTOMERS_FULL_DATA")</f>
        <v/>
      </c>
      <c r="QI5">
        <f>BDS("CNX US Equity","SUPPLY_CHAIN_SUPPLIERS_FULL_DATA")</f>
        <v/>
      </c>
      <c r="QW5">
        <f>BDS("CNX US Equity","SUPPLY_CHAIN_CUSTOMERS_FULL_DATA")</f>
        <v/>
      </c>
      <c r="RM5">
        <f>BDS("TFX US Equity","SUPPLY_CHAIN_SUPPLIERS_FULL_DATA")</f>
        <v/>
      </c>
      <c r="SA5">
        <f>BDS("TFX US Equity","SUPPLY_CHAIN_CUSTOMERS_FULL_DATA")</f>
        <v/>
      </c>
      <c r="SQ5">
        <f>BDS("PXP US Equity","SUPPLY_CHAIN_SUPPLIERS_FULL_DATA")</f>
        <v/>
      </c>
      <c r="TE5">
        <f>BDS("PXP US Equity","SUPPLY_CHAIN_CUSTOMERS_FULL_DATA")</f>
        <v/>
      </c>
      <c r="TU5">
        <f>BDS("BRK/A US Equity","SUPPLY_CHAIN_SUPPLIERS_FULL_DATA")</f>
        <v/>
      </c>
      <c r="UI5">
        <f>BDS("BRK/A US Equity","SUPPLY_CHAIN_CUSTOMERS_FULL_DATA")</f>
        <v/>
      </c>
      <c r="UY5">
        <f>BDS("nan Equity","SUPPLY_CHAIN_SUPPLIERS_FULL_DATA")</f>
        <v/>
      </c>
      <c r="VM5">
        <f>BDS("nan Equity","SUPPLY_CHAIN_CUSTOMERS_FULL_DATA")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1401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1402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1403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1404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1405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1406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1407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1408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1409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1410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1411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1412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1413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1414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1415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1416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1417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1418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1419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1420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VYTLQ US Equity</t>
        </is>
      </c>
      <c r="AE2" s="3" t="inlineStr">
        <is>
          <t>AMGN US Equity</t>
        </is>
      </c>
      <c r="BI2" s="3" t="inlineStr">
        <is>
          <t>CAVM US Equity</t>
        </is>
      </c>
      <c r="CM2" s="3" t="inlineStr">
        <is>
          <t>BATL US Equity</t>
        </is>
      </c>
      <c r="DQ2" s="3" t="inlineStr">
        <is>
          <t>ENTG US Equity</t>
        </is>
      </c>
      <c r="EU2" s="3" t="inlineStr">
        <is>
          <t>VLO US Equity</t>
        </is>
      </c>
      <c r="FY2" s="3" t="inlineStr">
        <is>
          <t>VBTX US Equity</t>
        </is>
      </c>
      <c r="HC2" s="3" t="inlineStr">
        <is>
          <t>PF US Equity</t>
        </is>
      </c>
      <c r="IG2" s="3" t="inlineStr">
        <is>
          <t>SCG US Equity</t>
        </is>
      </c>
      <c r="JK2" s="3" t="inlineStr">
        <is>
          <t>ON US Equity</t>
        </is>
      </c>
      <c r="KO2" s="3" t="inlineStr">
        <is>
          <t>DOC US Equity</t>
        </is>
      </c>
      <c r="LS2" s="3" t="inlineStr">
        <is>
          <t>ISIL US Equity</t>
        </is>
      </c>
      <c r="MW2" s="3" t="inlineStr">
        <is>
          <t>PRGNQ US Equity</t>
        </is>
      </c>
      <c r="OA2" s="3" t="inlineStr">
        <is>
          <t>BRK/A US Equity</t>
        </is>
      </c>
      <c r="PE2" s="3" t="inlineStr">
        <is>
          <t>2491Q US Equity</t>
        </is>
      </c>
      <c r="QI2" s="3" t="inlineStr">
        <is>
          <t>1731877D US Equity</t>
        </is>
      </c>
      <c r="RM2" s="3" t="inlineStr">
        <is>
          <t>2150994D US Equity</t>
        </is>
      </c>
      <c r="SQ2" s="3" t="inlineStr">
        <is>
          <t>TLAB US Equity</t>
        </is>
      </c>
      <c r="TU2" s="3" t="inlineStr">
        <is>
          <t>2619871D US Equity</t>
        </is>
      </c>
      <c r="UY2" s="3" t="inlineStr">
        <is>
          <t>RFMD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BDS("VYTLQ US Equity","SUPPLY_CHAIN_SUPPLIERS_FULL_DATA")</f>
        <v/>
      </c>
      <c r="O5">
        <f>BDS("VYTLQ US Equity","SUPPLY_CHAIN_CUSTOMERS_FULL_DATA")</f>
        <v/>
      </c>
      <c r="AE5">
        <f>BDS("AMGN US Equity","SUPPLY_CHAIN_SUPPLIERS_FULL_DATA")</f>
        <v/>
      </c>
      <c r="AS5">
        <f>BDS("AMGN US Equity","SUPPLY_CHAIN_CUSTOMERS_FULL_DATA")</f>
        <v/>
      </c>
      <c r="BI5">
        <f>BDS("CAVM US Equity","SUPPLY_CHAIN_SUPPLIERS_FULL_DATA")</f>
        <v/>
      </c>
      <c r="BW5">
        <f>BDS("CAVM US Equity","SUPPLY_CHAIN_CUSTOMERS_FULL_DATA")</f>
        <v/>
      </c>
      <c r="CM5">
        <f>BDS("BATL US Equity","SUPPLY_CHAIN_SUPPLIERS_FULL_DATA")</f>
        <v/>
      </c>
      <c r="DA5">
        <f>BDS("BATL US Equity","SUPPLY_CHAIN_CUSTOMERS_FULL_DATA")</f>
        <v/>
      </c>
      <c r="DQ5">
        <f>BDS("ENTG US Equity","SUPPLY_CHAIN_SUPPLIERS_FULL_DATA")</f>
        <v/>
      </c>
      <c r="EE5">
        <f>BDS("ENTG US Equity","SUPPLY_CHAIN_CUSTOMERS_FULL_DATA")</f>
        <v/>
      </c>
      <c r="EU5">
        <f>BDS("VLO US Equity","SUPPLY_CHAIN_SUPPLIERS_FULL_DATA")</f>
        <v/>
      </c>
      <c r="FI5">
        <f>BDS("VLO US Equity","SUPPLY_CHAIN_CUSTOMERS_FULL_DATA")</f>
        <v/>
      </c>
      <c r="FY5">
        <f>BDS("VBTX US Equity","SUPPLY_CHAIN_SUPPLIERS_FULL_DATA")</f>
        <v/>
      </c>
      <c r="GM5">
        <f>BDS("VBTX US Equity","SUPPLY_CHAIN_CUSTOMERS_FULL_DATA")</f>
        <v/>
      </c>
      <c r="HC5">
        <f>BDS("PF US Equity","SUPPLY_CHAIN_SUPPLIERS_FULL_DATA")</f>
        <v/>
      </c>
      <c r="HQ5">
        <f>BDS("PF US Equity","SUPPLY_CHAIN_CUSTOMERS_FULL_DATA")</f>
        <v/>
      </c>
      <c r="IG5">
        <f>BDS("SCG US Equity","SUPPLY_CHAIN_SUPPLIERS_FULL_DATA")</f>
        <v/>
      </c>
      <c r="IU5">
        <f>BDS("SCG US Equity","SUPPLY_CHAIN_CUSTOMERS_FULL_DATA")</f>
        <v/>
      </c>
      <c r="JK5">
        <f>BDS("ON US Equity","SUPPLY_CHAIN_SUPPLIERS_FULL_DATA")</f>
        <v/>
      </c>
      <c r="JY5">
        <f>BDS("ON US Equity","SUPPLY_CHAIN_CUSTOMERS_FULL_DATA")</f>
        <v/>
      </c>
      <c r="KO5">
        <f>BDS("DOC US Equity","SUPPLY_CHAIN_SUPPLIERS_FULL_DATA")</f>
        <v/>
      </c>
      <c r="LC5">
        <f>BDS("DOC US Equity","SUPPLY_CHAIN_CUSTOMERS_FULL_DATA")</f>
        <v/>
      </c>
      <c r="LS5">
        <f>BDS("ISIL US Equity","SUPPLY_CHAIN_SUPPLIERS_FULL_DATA")</f>
        <v/>
      </c>
      <c r="MG5">
        <f>BDS("ISIL US Equity","SUPPLY_CHAIN_CUSTOMERS_FULL_DATA")</f>
        <v/>
      </c>
      <c r="MW5">
        <f>BDS("PRGNQ US Equity","SUPPLY_CHAIN_SUPPLIERS_FULL_DATA")</f>
        <v/>
      </c>
      <c r="NK5">
        <f>BDS("PRGNQ US Equity","SUPPLY_CHAIN_CUSTOMERS_FULL_DATA")</f>
        <v/>
      </c>
      <c r="OA5">
        <f>BDS("BRK/A US Equity","SUPPLY_CHAIN_SUPPLIERS_FULL_DATA")</f>
        <v/>
      </c>
      <c r="OO5">
        <f>BDS("BRK/A US Equity","SUPPLY_CHAIN_CUSTOMERS_FULL_DATA")</f>
        <v/>
      </c>
      <c r="PE5">
        <f>BDS("2491Q US Equity","SUPPLY_CHAIN_SUPPLIERS_FULL_DATA")</f>
        <v/>
      </c>
      <c r="PS5">
        <f>BDS("2491Q US Equity","SUPPLY_CHAIN_CUSTOMERS_FULL_DATA")</f>
        <v/>
      </c>
      <c r="QI5">
        <f>BDS("1731877D US Equity","SUPPLY_CHAIN_SUPPLIERS_FULL_DATA")</f>
        <v/>
      </c>
      <c r="QW5">
        <f>BDS("1731877D US Equity","SUPPLY_CHAIN_CUSTOMERS_FULL_DATA")</f>
        <v/>
      </c>
      <c r="RM5">
        <f>BDS("2150994D US Equity","SUPPLY_CHAIN_SUPPLIERS_FULL_DATA")</f>
        <v/>
      </c>
      <c r="SA5">
        <f>BDS("2150994D US Equity","SUPPLY_CHAIN_CUSTOMERS_FULL_DATA")</f>
        <v/>
      </c>
      <c r="SQ5">
        <f>BDS("TLAB US Equity","SUPPLY_CHAIN_SUPPLIERS_FULL_DATA")</f>
        <v/>
      </c>
      <c r="TE5">
        <f>BDS("TLAB US Equity","SUPPLY_CHAIN_CUSTOMERS_FULL_DATA")</f>
        <v/>
      </c>
      <c r="TU5">
        <f>BDS("2619871D US Equity","SUPPLY_CHAIN_SUPPLIERS_FULL_DATA")</f>
        <v/>
      </c>
      <c r="UI5">
        <f>BDS("2619871D US Equity","SUPPLY_CHAIN_CUSTOMERS_FULL_DATA")</f>
        <v/>
      </c>
      <c r="UY5">
        <f>BDS("RFMD US Equity","SUPPLY_CHAIN_SUPPLIERS_FULL_DATA")</f>
        <v/>
      </c>
      <c r="VM5">
        <f>BDS("RFMD US Equity","SUPPLY_CHAIN_CUSTOMERS_FULL_DATA")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1421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1422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1423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1424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1425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1426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1427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1428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1429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1430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1431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1432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1433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1434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1435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1436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1437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1438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1439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1440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IBM US Equity</t>
        </is>
      </c>
      <c r="AE2" s="3" t="inlineStr">
        <is>
          <t>605018Q US Equity</t>
        </is>
      </c>
      <c r="BI2" s="3" t="inlineStr">
        <is>
          <t>nan Equity</t>
        </is>
      </c>
      <c r="CM2" s="3" t="inlineStr">
        <is>
          <t>NTIQ US Equity</t>
        </is>
      </c>
      <c r="DQ2" s="3" t="inlineStr">
        <is>
          <t>GENZ US Equity</t>
        </is>
      </c>
      <c r="EU2" s="3" t="inlineStr">
        <is>
          <t>HPE US Equity</t>
        </is>
      </c>
      <c r="FY2" s="3" t="inlineStr">
        <is>
          <t>RVBD US Equity</t>
        </is>
      </c>
      <c r="HC2" s="3" t="inlineStr">
        <is>
          <t>HALO US Equity</t>
        </is>
      </c>
      <c r="IG2" s="3" t="inlineStr">
        <is>
          <t>SGI US Equity</t>
        </is>
      </c>
      <c r="JK2" s="3" t="inlineStr">
        <is>
          <t>MKSI US Equity</t>
        </is>
      </c>
      <c r="KO2" s="3" t="inlineStr">
        <is>
          <t>WFC US Equity</t>
        </is>
      </c>
      <c r="LS2" s="3" t="inlineStr">
        <is>
          <t>TTMI US Equity</t>
        </is>
      </c>
      <c r="MW2" s="3" t="inlineStr">
        <is>
          <t>VRNT US Equity</t>
        </is>
      </c>
      <c r="OA2" s="3" t="inlineStr">
        <is>
          <t>UAN US Equity</t>
        </is>
      </c>
      <c r="PE2" s="3" t="inlineStr">
        <is>
          <t>ALL US Equity</t>
        </is>
      </c>
      <c r="QI2" s="3" t="inlineStr">
        <is>
          <t>GBCI US Equity</t>
        </is>
      </c>
      <c r="RM2" s="3" t="inlineStr">
        <is>
          <t>UBSI US Equity</t>
        </is>
      </c>
      <c r="SQ2" s="3" t="inlineStr">
        <is>
          <t>IM US Equity</t>
        </is>
      </c>
      <c r="TU2" s="3" t="inlineStr">
        <is>
          <t>FMER US Equity</t>
        </is>
      </c>
      <c r="UY2" s="3" t="inlineStr">
        <is>
          <t>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BDS("IBM US Equity","SUPPLY_CHAIN_SUPPLIERS_FULL_DATA")</f>
        <v/>
      </c>
      <c r="O5">
        <f>BDS("IBM US Equity","SUPPLY_CHAIN_CUSTOMERS_FULL_DATA")</f>
        <v/>
      </c>
      <c r="AE5">
        <f>BDS("605018Q US Equity","SUPPLY_CHAIN_SUPPLIERS_FULL_DATA")</f>
        <v/>
      </c>
      <c r="AS5">
        <f>BDS("605018Q US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BDS("NTIQ US Equity","SUPPLY_CHAIN_SUPPLIERS_FULL_DATA")</f>
        <v/>
      </c>
      <c r="DA5">
        <f>BDS("NTIQ US Equity","SUPPLY_CHAIN_CUSTOMERS_FULL_DATA")</f>
        <v/>
      </c>
      <c r="DQ5">
        <f>BDS("GENZ US Equity","SUPPLY_CHAIN_SUPPLIERS_FULL_DATA")</f>
        <v/>
      </c>
      <c r="EE5">
        <f>BDS("GENZ US Equity","SUPPLY_CHAIN_CUSTOMERS_FULL_DATA")</f>
        <v/>
      </c>
      <c r="EU5">
        <f>BDS("HPE US Equity","SUPPLY_CHAIN_SUPPLIERS_FULL_DATA")</f>
        <v/>
      </c>
      <c r="FI5">
        <f>BDS("HPE US Equity","SUPPLY_CHAIN_CUSTOMERS_FULL_DATA")</f>
        <v/>
      </c>
      <c r="FY5">
        <f>BDS("RVBD US Equity","SUPPLY_CHAIN_SUPPLIERS_FULL_DATA")</f>
        <v/>
      </c>
      <c r="GM5">
        <f>BDS("RVBD US Equity","SUPPLY_CHAIN_CUSTOMERS_FULL_DATA")</f>
        <v/>
      </c>
      <c r="HC5">
        <f>BDS("HALO US Equity","SUPPLY_CHAIN_SUPPLIERS_FULL_DATA")</f>
        <v/>
      </c>
      <c r="HQ5">
        <f>BDS("HALO US Equity","SUPPLY_CHAIN_CUSTOMERS_FULL_DATA")</f>
        <v/>
      </c>
      <c r="IG5">
        <f>BDS("SGI US Equity","SUPPLY_CHAIN_SUPPLIERS_FULL_DATA")</f>
        <v/>
      </c>
      <c r="IU5">
        <f>BDS("SGI US Equity","SUPPLY_CHAIN_CUSTOMERS_FULL_DATA")</f>
        <v/>
      </c>
      <c r="JK5">
        <f>BDS("MKSI US Equity","SUPPLY_CHAIN_SUPPLIERS_FULL_DATA")</f>
        <v/>
      </c>
      <c r="JY5">
        <f>BDS("MKSI US Equity","SUPPLY_CHAIN_CUSTOMERS_FULL_DATA")</f>
        <v/>
      </c>
      <c r="KO5">
        <f>BDS("WFC US Equity","SUPPLY_CHAIN_SUPPLIERS_FULL_DATA")</f>
        <v/>
      </c>
      <c r="LC5">
        <f>BDS("WFC US Equity","SUPPLY_CHAIN_CUSTOMERS_FULL_DATA")</f>
        <v/>
      </c>
      <c r="LS5">
        <f>BDS("TTMI US Equity","SUPPLY_CHAIN_SUPPLIERS_FULL_DATA")</f>
        <v/>
      </c>
      <c r="MG5">
        <f>BDS("TTMI US Equity","SUPPLY_CHAIN_CUSTOMERS_FULL_DATA")</f>
        <v/>
      </c>
      <c r="MW5">
        <f>BDS("VRNT US Equity","SUPPLY_CHAIN_SUPPLIERS_FULL_DATA")</f>
        <v/>
      </c>
      <c r="NK5">
        <f>BDS("VRNT US Equity","SUPPLY_CHAIN_CUSTOMERS_FULL_DATA")</f>
        <v/>
      </c>
      <c r="OA5">
        <f>BDS("UAN US Equity","SUPPLY_CHAIN_SUPPLIERS_FULL_DATA")</f>
        <v/>
      </c>
      <c r="OO5">
        <f>BDS("UAN US Equity","SUPPLY_CHAIN_CUSTOMERS_FULL_DATA")</f>
        <v/>
      </c>
      <c r="PE5">
        <f>BDS("ALL US Equity","SUPPLY_CHAIN_SUPPLIERS_FULL_DATA")</f>
        <v/>
      </c>
      <c r="PS5">
        <f>BDS("ALL US Equity","SUPPLY_CHAIN_CUSTOMERS_FULL_DATA")</f>
        <v/>
      </c>
      <c r="QI5">
        <f>BDS("GBCI US Equity","SUPPLY_CHAIN_SUPPLIERS_FULL_DATA")</f>
        <v/>
      </c>
      <c r="QW5">
        <f>BDS("GBCI US Equity","SUPPLY_CHAIN_CUSTOMERS_FULL_DATA")</f>
        <v/>
      </c>
      <c r="RM5">
        <f>BDS("UBSI US Equity","SUPPLY_CHAIN_SUPPLIERS_FULL_DATA")</f>
        <v/>
      </c>
      <c r="SA5">
        <f>BDS("UBSI US Equity","SUPPLY_CHAIN_CUSTOMERS_FULL_DATA")</f>
        <v/>
      </c>
      <c r="SQ5">
        <f>BDS("IM US Equity","SUPPLY_CHAIN_SUPPLIERS_FULL_DATA")</f>
        <v/>
      </c>
      <c r="TE5">
        <f>BDS("IM US Equity","SUPPLY_CHAIN_CUSTOMERS_FULL_DATA")</f>
        <v/>
      </c>
      <c r="TU5">
        <f>BDS("FMER US Equity","SUPPLY_CHAIN_SUPPLIERS_FULL_DATA")</f>
        <v/>
      </c>
      <c r="UI5">
        <f>BDS("FMER US Equity","SUPPLY_CHAIN_CUSTOMERS_FULL_DATA")</f>
        <v/>
      </c>
      <c r="UY5">
        <f>BDS("D US Equity","SUPPLY_CHAIN_SUPPLIERS_FULL_DATA")</f>
        <v/>
      </c>
      <c r="VM5">
        <f>BDS("D US Equity","SUPPLY_CHAIN_CUSTOMERS_FULL_DATA")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1441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1442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1443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1444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1445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1446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1447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1448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1449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1450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1451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1452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1453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1454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1455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1456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1457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1458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1459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1460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AGN US Equity</t>
        </is>
      </c>
      <c r="AE2" s="3" t="inlineStr">
        <is>
          <t>AVNT US Equity</t>
        </is>
      </c>
      <c r="BI2" s="3" t="inlineStr">
        <is>
          <t>GTIV US Equity</t>
        </is>
      </c>
      <c r="CM2" s="3" t="inlineStr">
        <is>
          <t>MRK US Equity</t>
        </is>
      </c>
      <c r="DQ2" s="3" t="inlineStr">
        <is>
          <t>1545746D US Equity</t>
        </is>
      </c>
      <c r="EU2" s="3" t="inlineStr">
        <is>
          <t>PCH US Equity</t>
        </is>
      </c>
      <c r="FY2" s="3" t="inlineStr">
        <is>
          <t>MKL US Equity</t>
        </is>
      </c>
      <c r="HC2" s="3" t="inlineStr">
        <is>
          <t>GE US Equity</t>
        </is>
      </c>
      <c r="IG2" s="3" t="inlineStr">
        <is>
          <t>BPYU US Equity</t>
        </is>
      </c>
      <c r="JK2" s="3" t="inlineStr">
        <is>
          <t>WSFS US Equity</t>
        </is>
      </c>
      <c r="KO2" s="3" t="inlineStr">
        <is>
          <t>JNJ US Equity</t>
        </is>
      </c>
      <c r="LS2" s="3" t="inlineStr">
        <is>
          <t>9991735D US Equity</t>
        </is>
      </c>
      <c r="MW2" s="3" t="inlineStr">
        <is>
          <t>URI US Equity</t>
        </is>
      </c>
      <c r="OA2" s="3" t="inlineStr">
        <is>
          <t>AVT US Equity</t>
        </is>
      </c>
      <c r="PE2" s="3" t="inlineStr">
        <is>
          <t>RJF US Equity</t>
        </is>
      </c>
      <c r="QI2" s="3" t="inlineStr">
        <is>
          <t>UNH US Equity</t>
        </is>
      </c>
      <c r="RM2" s="3" t="inlineStr">
        <is>
          <t>502466Q US Equity</t>
        </is>
      </c>
      <c r="SQ2" s="3" t="inlineStr">
        <is>
          <t>1544866D US Equity</t>
        </is>
      </c>
      <c r="TU2" s="3" t="inlineStr">
        <is>
          <t>DGX US Equity</t>
        </is>
      </c>
      <c r="UY2" s="3" t="inlineStr">
        <is>
          <t>SJM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BDS("AGN US Equity","SUPPLY_CHAIN_SUPPLIERS_FULL_DATA")</f>
        <v/>
      </c>
      <c r="O5">
        <f>BDS("AGN US Equity","SUPPLY_CHAIN_CUSTOMERS_FULL_DATA")</f>
        <v/>
      </c>
      <c r="AE5">
        <f>BDS("AVNT US Equity","SUPPLY_CHAIN_SUPPLIERS_FULL_DATA")</f>
        <v/>
      </c>
      <c r="AS5">
        <f>BDS("AVNT US Equity","SUPPLY_CHAIN_CUSTOMERS_FULL_DATA")</f>
        <v/>
      </c>
      <c r="BI5">
        <f>BDS("GTIV US Equity","SUPPLY_CHAIN_SUPPLIERS_FULL_DATA")</f>
        <v/>
      </c>
      <c r="BW5">
        <f>BDS("GTIV US Equity","SUPPLY_CHAIN_CUSTOMERS_FULL_DATA")</f>
        <v/>
      </c>
      <c r="CM5">
        <f>BDS("MRK US Equity","SUPPLY_CHAIN_SUPPLIERS_FULL_DATA")</f>
        <v/>
      </c>
      <c r="DA5">
        <f>BDS("MRK US Equity","SUPPLY_CHAIN_CUSTOMERS_FULL_DATA")</f>
        <v/>
      </c>
      <c r="DQ5">
        <f>BDS("1545746D US Equity","SUPPLY_CHAIN_SUPPLIERS_FULL_DATA")</f>
        <v/>
      </c>
      <c r="EE5">
        <f>BDS("1545746D US Equity","SUPPLY_CHAIN_CUSTOMERS_FULL_DATA")</f>
        <v/>
      </c>
      <c r="EU5">
        <f>BDS("PCH US Equity","SUPPLY_CHAIN_SUPPLIERS_FULL_DATA")</f>
        <v/>
      </c>
      <c r="FI5">
        <f>BDS("PCH US Equity","SUPPLY_CHAIN_CUSTOMERS_FULL_DATA")</f>
        <v/>
      </c>
      <c r="FY5">
        <f>BDS("MKL US Equity","SUPPLY_CHAIN_SUPPLIERS_FULL_DATA")</f>
        <v/>
      </c>
      <c r="GM5">
        <f>BDS("MKL US Equity","SUPPLY_CHAIN_CUSTOMERS_FULL_DATA")</f>
        <v/>
      </c>
      <c r="HC5">
        <f>BDS("GE US Equity","SUPPLY_CHAIN_SUPPLIERS_FULL_DATA")</f>
        <v/>
      </c>
      <c r="HQ5">
        <f>BDS("GE US Equity","SUPPLY_CHAIN_CUSTOMERS_FULL_DATA")</f>
        <v/>
      </c>
      <c r="IG5">
        <f>BDS("BPYU US Equity","SUPPLY_CHAIN_SUPPLIERS_FULL_DATA")</f>
        <v/>
      </c>
      <c r="IU5">
        <f>BDS("BPYU US Equity","SUPPLY_CHAIN_CUSTOMERS_FULL_DATA")</f>
        <v/>
      </c>
      <c r="JK5">
        <f>BDS("WSFS US Equity","SUPPLY_CHAIN_SUPPLIERS_FULL_DATA")</f>
        <v/>
      </c>
      <c r="JY5">
        <f>BDS("WSFS US Equity","SUPPLY_CHAIN_CUSTOMERS_FULL_DATA")</f>
        <v/>
      </c>
      <c r="KO5">
        <f>BDS("JNJ US Equity","SUPPLY_CHAIN_SUPPLIERS_FULL_DATA")</f>
        <v/>
      </c>
      <c r="LC5">
        <f>BDS("JNJ US Equity","SUPPLY_CHAIN_CUSTOMERS_FULL_DATA")</f>
        <v/>
      </c>
      <c r="LS5">
        <f>BDS("9991735D US Equity","SUPPLY_CHAIN_SUPPLIERS_FULL_DATA")</f>
        <v/>
      </c>
      <c r="MG5">
        <f>BDS("9991735D US Equity","SUPPLY_CHAIN_CUSTOMERS_FULL_DATA")</f>
        <v/>
      </c>
      <c r="MW5">
        <f>BDS("URI US Equity","SUPPLY_CHAIN_SUPPLIERS_FULL_DATA")</f>
        <v/>
      </c>
      <c r="NK5">
        <f>BDS("URI US Equity","SUPPLY_CHAIN_CUSTOMERS_FULL_DATA")</f>
        <v/>
      </c>
      <c r="OA5">
        <f>BDS("AVT US Equity","SUPPLY_CHAIN_SUPPLIERS_FULL_DATA")</f>
        <v/>
      </c>
      <c r="OO5">
        <f>BDS("AVT US Equity","SUPPLY_CHAIN_CUSTOMERS_FULL_DATA")</f>
        <v/>
      </c>
      <c r="PE5">
        <f>BDS("RJF US Equity","SUPPLY_CHAIN_SUPPLIERS_FULL_DATA")</f>
        <v/>
      </c>
      <c r="PS5">
        <f>BDS("RJF US Equity","SUPPLY_CHAIN_CUSTOMERS_FULL_DATA")</f>
        <v/>
      </c>
      <c r="QI5">
        <f>BDS("UNH US Equity","SUPPLY_CHAIN_SUPPLIERS_FULL_DATA")</f>
        <v/>
      </c>
      <c r="QW5">
        <f>BDS("UNH US Equity","SUPPLY_CHAIN_CUSTOMERS_FULL_DATA")</f>
        <v/>
      </c>
      <c r="RM5">
        <f>BDS("502466Q US Equity","SUPPLY_CHAIN_SUPPLIERS_FULL_DATA")</f>
        <v/>
      </c>
      <c r="SA5">
        <f>BDS("502466Q US Equity","SUPPLY_CHAIN_CUSTOMERS_FULL_DATA")</f>
        <v/>
      </c>
      <c r="SQ5">
        <f>BDS("1544866D US Equity","SUPPLY_CHAIN_SUPPLIERS_FULL_DATA")</f>
        <v/>
      </c>
      <c r="TE5">
        <f>BDS("1544866D US Equity","SUPPLY_CHAIN_CUSTOMERS_FULL_DATA")</f>
        <v/>
      </c>
      <c r="TU5">
        <f>BDS("DGX US Equity","SUPPLY_CHAIN_SUPPLIERS_FULL_DATA")</f>
        <v/>
      </c>
      <c r="UI5">
        <f>BDS("DGX US Equity","SUPPLY_CHAIN_CUSTOMERS_FULL_DATA")</f>
        <v/>
      </c>
      <c r="UY5">
        <f>BDS("SJM US Equity","SUPPLY_CHAIN_SUPPLIERS_FULL_DATA")</f>
        <v/>
      </c>
      <c r="VM5">
        <f>BDS("SJM US Equity","SUPPLY_CHAIN_CUSTOMERS_FULL_DATA")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1461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1462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1463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1464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1465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1466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1467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1468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1469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1470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1471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1472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1473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1474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1475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1476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1477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1478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1479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1480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9990721D US Equity</t>
        </is>
      </c>
      <c r="AE2" s="3" t="inlineStr">
        <is>
          <t>SWN US Equity</t>
        </is>
      </c>
      <c r="BI2" s="3" t="inlineStr">
        <is>
          <t>HOMB US Equity</t>
        </is>
      </c>
      <c r="CM2" s="3" t="inlineStr">
        <is>
          <t>SIVBQ US Equity</t>
        </is>
      </c>
      <c r="DQ2" s="3" t="inlineStr">
        <is>
          <t>HZNP US Equity</t>
        </is>
      </c>
      <c r="EU2" s="3" t="inlineStr">
        <is>
          <t>EBC US Equity</t>
        </is>
      </c>
      <c r="FY2" s="3" t="inlineStr">
        <is>
          <t>WLTGQ US Equity</t>
        </is>
      </c>
      <c r="HC2" s="3" t="inlineStr">
        <is>
          <t>CVBF US Equity</t>
        </is>
      </c>
      <c r="IG2" s="3" t="inlineStr">
        <is>
          <t>244630Q US Equity</t>
        </is>
      </c>
      <c r="JK2" s="3" t="inlineStr">
        <is>
          <t>PSS US Equity</t>
        </is>
      </c>
      <c r="KO2" s="3" t="inlineStr">
        <is>
          <t>1683997D US Equity</t>
        </is>
      </c>
      <c r="LS2" s="3" t="inlineStr">
        <is>
          <t>EQIX US Equity</t>
        </is>
      </c>
      <c r="MW2" s="3" t="inlineStr">
        <is>
          <t>BMC US Equity</t>
        </is>
      </c>
      <c r="OA2" s="3" t="inlineStr">
        <is>
          <t>4612775Q US Equity</t>
        </is>
      </c>
      <c r="PE2" s="3" t="inlineStr">
        <is>
          <t>TLAB US Equity</t>
        </is>
      </c>
      <c r="QI2" s="3" t="inlineStr">
        <is>
          <t>ASNAQ US Equity</t>
        </is>
      </c>
      <c r="RM2" s="3" t="inlineStr">
        <is>
          <t>MFIC US Equity</t>
        </is>
      </c>
      <c r="SQ2" s="3" t="inlineStr">
        <is>
          <t>ESVNQ US Equity</t>
        </is>
      </c>
      <c r="TU2" s="3" t="inlineStr">
        <is>
          <t>116777Q US Equity</t>
        </is>
      </c>
      <c r="UY2" s="3" t="inlineStr">
        <is>
          <t>GMH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BDS("9990721D US Equity","SUPPLY_CHAIN_SUPPLIERS_FULL_DATA")</f>
        <v/>
      </c>
      <c r="O5">
        <f>BDS("9990721D US Equity","SUPPLY_CHAIN_CUSTOMERS_FULL_DATA")</f>
        <v/>
      </c>
      <c r="AE5">
        <f>BDS("SWN US Equity","SUPPLY_CHAIN_SUPPLIERS_FULL_DATA")</f>
        <v/>
      </c>
      <c r="AS5">
        <f>BDS("SWN US Equity","SUPPLY_CHAIN_CUSTOMERS_FULL_DATA")</f>
        <v/>
      </c>
      <c r="BI5">
        <f>BDS("HOMB US Equity","SUPPLY_CHAIN_SUPPLIERS_FULL_DATA")</f>
        <v/>
      </c>
      <c r="BW5">
        <f>BDS("HOMB US Equity","SUPPLY_CHAIN_CUSTOMERS_FULL_DATA")</f>
        <v/>
      </c>
      <c r="CM5">
        <f>BDS("SIVBQ US Equity","SUPPLY_CHAIN_SUPPLIERS_FULL_DATA")</f>
        <v/>
      </c>
      <c r="DA5">
        <f>BDS("SIVBQ US Equity","SUPPLY_CHAIN_CUSTOMERS_FULL_DATA")</f>
        <v/>
      </c>
      <c r="DQ5">
        <f>BDS("HZNP US Equity","SUPPLY_CHAIN_SUPPLIERS_FULL_DATA")</f>
        <v/>
      </c>
      <c r="EE5">
        <f>BDS("HZNP US Equity","SUPPLY_CHAIN_CUSTOMERS_FULL_DATA")</f>
        <v/>
      </c>
      <c r="EU5">
        <f>BDS("EBC US Equity","SUPPLY_CHAIN_SUPPLIERS_FULL_DATA")</f>
        <v/>
      </c>
      <c r="FI5">
        <f>BDS("EBC US Equity","SUPPLY_CHAIN_CUSTOMERS_FULL_DATA")</f>
        <v/>
      </c>
      <c r="FY5">
        <f>BDS("WLTGQ US Equity","SUPPLY_CHAIN_SUPPLIERS_FULL_DATA")</f>
        <v/>
      </c>
      <c r="GM5">
        <f>BDS("WLTGQ US Equity","SUPPLY_CHAIN_CUSTOMERS_FULL_DATA")</f>
        <v/>
      </c>
      <c r="HC5">
        <f>BDS("CVBF US Equity","SUPPLY_CHAIN_SUPPLIERS_FULL_DATA")</f>
        <v/>
      </c>
      <c r="HQ5">
        <f>BDS("CVBF US Equity","SUPPLY_CHAIN_CUSTOMERS_FULL_DATA")</f>
        <v/>
      </c>
      <c r="IG5">
        <f>BDS("244630Q US Equity","SUPPLY_CHAIN_SUPPLIERS_FULL_DATA")</f>
        <v/>
      </c>
      <c r="IU5">
        <f>BDS("244630Q US Equity","SUPPLY_CHAIN_CUSTOMERS_FULL_DATA")</f>
        <v/>
      </c>
      <c r="JK5">
        <f>BDS("PSS US Equity","SUPPLY_CHAIN_SUPPLIERS_FULL_DATA")</f>
        <v/>
      </c>
      <c r="JY5">
        <f>BDS("PSS US Equity","SUPPLY_CHAIN_CUSTOMERS_FULL_DATA")</f>
        <v/>
      </c>
      <c r="KO5">
        <f>BDS("1683997D US Equity","SUPPLY_CHAIN_SUPPLIERS_FULL_DATA")</f>
        <v/>
      </c>
      <c r="LC5">
        <f>BDS("1683997D US Equity","SUPPLY_CHAIN_CUSTOMERS_FULL_DATA")</f>
        <v/>
      </c>
      <c r="LS5">
        <f>BDS("EQIX US Equity","SUPPLY_CHAIN_SUPPLIERS_FULL_DATA")</f>
        <v/>
      </c>
      <c r="MG5">
        <f>BDS("EQIX US Equity","SUPPLY_CHAIN_CUSTOMERS_FULL_DATA")</f>
        <v/>
      </c>
      <c r="MW5">
        <f>BDS("BMC US Equity","SUPPLY_CHAIN_SUPPLIERS_FULL_DATA")</f>
        <v/>
      </c>
      <c r="NK5">
        <f>BDS("BMC US Equity","SUPPLY_CHAIN_CUSTOMERS_FULL_DATA")</f>
        <v/>
      </c>
      <c r="OA5">
        <f>BDS("4612775Q US Equity","SUPPLY_CHAIN_SUPPLIERS_FULL_DATA")</f>
        <v/>
      </c>
      <c r="OO5">
        <f>BDS("4612775Q US Equity","SUPPLY_CHAIN_CUSTOMERS_FULL_DATA")</f>
        <v/>
      </c>
      <c r="PE5">
        <f>BDS("TLAB US Equity","SUPPLY_CHAIN_SUPPLIERS_FULL_DATA")</f>
        <v/>
      </c>
      <c r="PS5">
        <f>BDS("TLAB US Equity","SUPPLY_CHAIN_CUSTOMERS_FULL_DATA")</f>
        <v/>
      </c>
      <c r="QI5">
        <f>BDS("ASNAQ US Equity","SUPPLY_CHAIN_SUPPLIERS_FULL_DATA")</f>
        <v/>
      </c>
      <c r="QW5">
        <f>BDS("ASNAQ US Equity","SUPPLY_CHAIN_CUSTOMERS_FULL_DATA")</f>
        <v/>
      </c>
      <c r="RM5">
        <f>BDS("MFIC US Equity","SUPPLY_CHAIN_SUPPLIERS_FULL_DATA")</f>
        <v/>
      </c>
      <c r="SA5">
        <f>BDS("MFIC US Equity","SUPPLY_CHAIN_CUSTOMERS_FULL_DATA")</f>
        <v/>
      </c>
      <c r="SQ5">
        <f>BDS("ESVNQ US Equity","SUPPLY_CHAIN_SUPPLIERS_FULL_DATA")</f>
        <v/>
      </c>
      <c r="TE5">
        <f>BDS("ESVNQ US Equity","SUPPLY_CHAIN_CUSTOMERS_FULL_DATA")</f>
        <v/>
      </c>
      <c r="TU5">
        <f>BDS("116777Q US Equity","SUPPLY_CHAIN_SUPPLIERS_FULL_DATA")</f>
        <v/>
      </c>
      <c r="UI5">
        <f>BDS("116777Q US Equity","SUPPLY_CHAIN_CUSTOMERS_FULL_DATA")</f>
        <v/>
      </c>
      <c r="UY5">
        <f>BDS("GMH US Equity","SUPPLY_CHAIN_SUPPLIERS_FULL_DATA")</f>
        <v/>
      </c>
      <c r="VM5">
        <f>BDS("GMH US Equity","SUPPLY_CHAIN_CUSTOMERS_FULL_DATA")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1481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1482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1483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1484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1485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1486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1487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1488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1489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1490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1491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1492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1493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1494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1495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1496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1497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1498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1499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1500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GMH US Equity</t>
        </is>
      </c>
      <c r="AE2" s="3" t="inlineStr">
        <is>
          <t>NWSA US Equity</t>
        </is>
      </c>
      <c r="BI2" s="3" t="inlineStr">
        <is>
          <t>DGX US Equity</t>
        </is>
      </c>
      <c r="CM2" s="3" t="inlineStr">
        <is>
          <t>ORCL US Equity</t>
        </is>
      </c>
      <c r="DQ2" s="3" t="inlineStr">
        <is>
          <t>VMC US Equity</t>
        </is>
      </c>
      <c r="EU2" s="3" t="inlineStr">
        <is>
          <t>PYPL US Equity</t>
        </is>
      </c>
      <c r="FY2" s="3" t="inlineStr">
        <is>
          <t>ARR US Equity</t>
        </is>
      </c>
      <c r="HC2" s="3" t="inlineStr">
        <is>
          <t>CAR US Equity</t>
        </is>
      </c>
      <c r="IG2" s="3" t="inlineStr">
        <is>
          <t>NS US Equity</t>
        </is>
      </c>
      <c r="JK2" s="3" t="inlineStr">
        <is>
          <t>MTCH US Equity</t>
        </is>
      </c>
      <c r="KO2" s="3" t="inlineStr">
        <is>
          <t>CSFL US Equity</t>
        </is>
      </c>
      <c r="LS2" s="3" t="inlineStr">
        <is>
          <t>BRK/A US Equity</t>
        </is>
      </c>
      <c r="MW2" s="3" t="inlineStr">
        <is>
          <t>AIV US Equity</t>
        </is>
      </c>
      <c r="OA2" s="3" t="inlineStr">
        <is>
          <t>GE US Equity</t>
        </is>
      </c>
      <c r="PE2" s="3" t="inlineStr">
        <is>
          <t>MU US Equity</t>
        </is>
      </c>
      <c r="QI2" s="3" t="inlineStr">
        <is>
          <t>DST US Equity</t>
        </is>
      </c>
      <c r="RM2" s="3" t="inlineStr">
        <is>
          <t>MCHP US Equity</t>
        </is>
      </c>
      <c r="SQ2" s="3" t="inlineStr">
        <is>
          <t>390297Q US Equity</t>
        </is>
      </c>
      <c r="TU2" s="3" t="inlineStr">
        <is>
          <t>JACK US Equity</t>
        </is>
      </c>
      <c r="UY2" s="3" t="inlineStr">
        <is>
          <t>BEN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BDS("GMH US Equity","SUPPLY_CHAIN_SUPPLIERS_FULL_DATA")</f>
        <v/>
      </c>
      <c r="O5">
        <f>BDS("GMH US Equity","SUPPLY_CHAIN_CUSTOMERS_FULL_DATA")</f>
        <v/>
      </c>
      <c r="AE5">
        <f>BDS("NWSA US Equity","SUPPLY_CHAIN_SUPPLIERS_FULL_DATA")</f>
        <v/>
      </c>
      <c r="AS5">
        <f>BDS("NWSA US Equity","SUPPLY_CHAIN_CUSTOMERS_FULL_DATA")</f>
        <v/>
      </c>
      <c r="BI5">
        <f>BDS("DGX US Equity","SUPPLY_CHAIN_SUPPLIERS_FULL_DATA")</f>
        <v/>
      </c>
      <c r="BW5">
        <f>BDS("DGX US Equity","SUPPLY_CHAIN_CUSTOMERS_FULL_DATA")</f>
        <v/>
      </c>
      <c r="CM5">
        <f>BDS("ORCL US Equity","SUPPLY_CHAIN_SUPPLIERS_FULL_DATA")</f>
        <v/>
      </c>
      <c r="DA5">
        <f>BDS("ORCL US Equity","SUPPLY_CHAIN_CUSTOMERS_FULL_DATA")</f>
        <v/>
      </c>
      <c r="DQ5">
        <f>BDS("VMC US Equity","SUPPLY_CHAIN_SUPPLIERS_FULL_DATA")</f>
        <v/>
      </c>
      <c r="EE5">
        <f>BDS("VMC US Equity","SUPPLY_CHAIN_CUSTOMERS_FULL_DATA")</f>
        <v/>
      </c>
      <c r="EU5">
        <f>BDS("PYPL US Equity","SUPPLY_CHAIN_SUPPLIERS_FULL_DATA")</f>
        <v/>
      </c>
      <c r="FI5">
        <f>BDS("PYPL US Equity","SUPPLY_CHAIN_CUSTOMERS_FULL_DATA")</f>
        <v/>
      </c>
      <c r="FY5">
        <f>BDS("ARR US Equity","SUPPLY_CHAIN_SUPPLIERS_FULL_DATA")</f>
        <v/>
      </c>
      <c r="GM5">
        <f>BDS("ARR US Equity","SUPPLY_CHAIN_CUSTOMERS_FULL_DATA")</f>
        <v/>
      </c>
      <c r="HC5">
        <f>BDS("CAR US Equity","SUPPLY_CHAIN_SUPPLIERS_FULL_DATA")</f>
        <v/>
      </c>
      <c r="HQ5">
        <f>BDS("CAR US Equity","SUPPLY_CHAIN_CUSTOMERS_FULL_DATA")</f>
        <v/>
      </c>
      <c r="IG5">
        <f>BDS("NS US Equity","SUPPLY_CHAIN_SUPPLIERS_FULL_DATA")</f>
        <v/>
      </c>
      <c r="IU5">
        <f>BDS("NS US Equity","SUPPLY_CHAIN_CUSTOMERS_FULL_DATA")</f>
        <v/>
      </c>
      <c r="JK5">
        <f>BDS("MTCH US Equity","SUPPLY_CHAIN_SUPPLIERS_FULL_DATA")</f>
        <v/>
      </c>
      <c r="JY5">
        <f>BDS("MTCH US Equity","SUPPLY_CHAIN_CUSTOMERS_FULL_DATA")</f>
        <v/>
      </c>
      <c r="KO5">
        <f>BDS("CSFL US Equity","SUPPLY_CHAIN_SUPPLIERS_FULL_DATA")</f>
        <v/>
      </c>
      <c r="LC5">
        <f>BDS("CSFL US Equity","SUPPLY_CHAIN_CUSTOMERS_FULL_DATA")</f>
        <v/>
      </c>
      <c r="LS5">
        <f>BDS("BRK/A US Equity","SUPPLY_CHAIN_SUPPLIERS_FULL_DATA")</f>
        <v/>
      </c>
      <c r="MG5">
        <f>BDS("BRK/A US Equity","SUPPLY_CHAIN_CUSTOMERS_FULL_DATA")</f>
        <v/>
      </c>
      <c r="MW5">
        <f>BDS("AIV US Equity","SUPPLY_CHAIN_SUPPLIERS_FULL_DATA")</f>
        <v/>
      </c>
      <c r="NK5">
        <f>BDS("AIV US Equity","SUPPLY_CHAIN_CUSTOMERS_FULL_DATA")</f>
        <v/>
      </c>
      <c r="OA5">
        <f>BDS("GE US Equity","SUPPLY_CHAIN_SUPPLIERS_FULL_DATA")</f>
        <v/>
      </c>
      <c r="OO5">
        <f>BDS("GE US Equity","SUPPLY_CHAIN_CUSTOMERS_FULL_DATA")</f>
        <v/>
      </c>
      <c r="PE5">
        <f>BDS("MU US Equity","SUPPLY_CHAIN_SUPPLIERS_FULL_DATA")</f>
        <v/>
      </c>
      <c r="PS5">
        <f>BDS("MU US Equity","SUPPLY_CHAIN_CUSTOMERS_FULL_DATA")</f>
        <v/>
      </c>
      <c r="QI5">
        <f>BDS("DST US Equity","SUPPLY_CHAIN_SUPPLIERS_FULL_DATA")</f>
        <v/>
      </c>
      <c r="QW5">
        <f>BDS("DST US Equity","SUPPLY_CHAIN_CUSTOMERS_FULL_DATA")</f>
        <v/>
      </c>
      <c r="RM5">
        <f>BDS("MCHP US Equity","SUPPLY_CHAIN_SUPPLIERS_FULL_DATA")</f>
        <v/>
      </c>
      <c r="SA5">
        <f>BDS("MCHP US Equity","SUPPLY_CHAIN_CUSTOMERS_FULL_DATA")</f>
        <v/>
      </c>
      <c r="SQ5">
        <f>BDS("390297Q US Equity","SUPPLY_CHAIN_SUPPLIERS_FULL_DATA")</f>
        <v/>
      </c>
      <c r="TE5">
        <f>BDS("390297Q US Equity","SUPPLY_CHAIN_CUSTOMERS_FULL_DATA")</f>
        <v/>
      </c>
      <c r="TU5">
        <f>BDS("JACK US Equity","SUPPLY_CHAIN_SUPPLIERS_FULL_DATA")</f>
        <v/>
      </c>
      <c r="UI5">
        <f>BDS("JACK US Equity","SUPPLY_CHAIN_CUSTOMERS_FULL_DATA")</f>
        <v/>
      </c>
      <c r="UY5">
        <f>BDS("BEN US Equity","SUPPLY_CHAIN_SUPPLIERS_FULL_DATA")</f>
        <v/>
      </c>
      <c r="VM5">
        <f>BDS("BEN US Equity","SUPPLY_CHAIN_CUSTOMERS_FULL_DATA")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1501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1502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1503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1504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1505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1506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1507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1508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1509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1510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1511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1512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1513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1514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1515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1516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1517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1518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1519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1520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SHAW US Equity</t>
        </is>
      </c>
      <c r="AE2" s="3" t="inlineStr">
        <is>
          <t>4936C US Equity</t>
        </is>
      </c>
      <c r="BI2" s="3" t="inlineStr">
        <is>
          <t>540513Q US Equity</t>
        </is>
      </c>
      <c r="CM2" s="3" t="inlineStr">
        <is>
          <t>BIP US Equity</t>
        </is>
      </c>
      <c r="DQ2" s="3" t="inlineStr">
        <is>
          <t>9990213D US Equity</t>
        </is>
      </c>
      <c r="EU2" s="3" t="inlineStr">
        <is>
          <t>VLY US Equity</t>
        </is>
      </c>
      <c r="FY2" s="3" t="inlineStr">
        <is>
          <t>9990822D US Equity</t>
        </is>
      </c>
      <c r="HC2" s="3" t="inlineStr">
        <is>
          <t>SUSQ US Equity</t>
        </is>
      </c>
      <c r="IG2" s="3" t="inlineStr">
        <is>
          <t>DGI US Equity</t>
        </is>
      </c>
      <c r="JK2" s="3" t="inlineStr">
        <is>
          <t>LLY US Equity</t>
        </is>
      </c>
      <c r="KO2" s="3" t="inlineStr">
        <is>
          <t>PCP US Equity</t>
        </is>
      </c>
      <c r="LS2" s="3" t="inlineStr">
        <is>
          <t>IP US Equity</t>
        </is>
      </c>
      <c r="MW2" s="3" t="inlineStr">
        <is>
          <t>GIS US Equity</t>
        </is>
      </c>
      <c r="OA2" s="3" t="inlineStr">
        <is>
          <t>WBVNQ US Equity</t>
        </is>
      </c>
      <c r="PE2" s="3" t="inlineStr">
        <is>
          <t>VNRSQ US Equity</t>
        </is>
      </c>
      <c r="QI2" s="3" t="inlineStr">
        <is>
          <t>3867693Z US Equity</t>
        </is>
      </c>
      <c r="RM2" s="3" t="inlineStr">
        <is>
          <t>0848680D US Equity</t>
        </is>
      </c>
      <c r="SQ2" s="3" t="inlineStr">
        <is>
          <t>ATI US Equity</t>
        </is>
      </c>
      <c r="TU2" s="3" t="inlineStr">
        <is>
          <t>SCOR US Equity</t>
        </is>
      </c>
      <c r="UY2" s="3" t="inlineStr">
        <is>
          <t>REVRQ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BDS("SHAW US Equity","SUPPLY_CHAIN_SUPPLIERS_FULL_DATA")</f>
        <v/>
      </c>
      <c r="O5">
        <f>BDS("SHAW US Equity","SUPPLY_CHAIN_CUSTOMERS_FULL_DATA")</f>
        <v/>
      </c>
      <c r="AE5">
        <f>BDS("4936C US Equity","SUPPLY_CHAIN_SUPPLIERS_FULL_DATA")</f>
        <v/>
      </c>
      <c r="AS5">
        <f>BDS("4936C US Equity","SUPPLY_CHAIN_CUSTOMERS_FULL_DATA")</f>
        <v/>
      </c>
      <c r="BI5">
        <f>BDS("540513Q US Equity","SUPPLY_CHAIN_SUPPLIERS_FULL_DATA")</f>
        <v/>
      </c>
      <c r="BW5">
        <f>BDS("540513Q US Equity","SUPPLY_CHAIN_CUSTOMERS_FULL_DATA")</f>
        <v/>
      </c>
      <c r="CM5">
        <f>BDS("BIP US Equity","SUPPLY_CHAIN_SUPPLIERS_FULL_DATA")</f>
        <v/>
      </c>
      <c r="DA5">
        <f>BDS("BIP US Equity","SUPPLY_CHAIN_CUSTOMERS_FULL_DATA")</f>
        <v/>
      </c>
      <c r="DQ5">
        <f>BDS("9990213D US Equity","SUPPLY_CHAIN_SUPPLIERS_FULL_DATA")</f>
        <v/>
      </c>
      <c r="EE5">
        <f>BDS("9990213D US Equity","SUPPLY_CHAIN_CUSTOMERS_FULL_DATA")</f>
        <v/>
      </c>
      <c r="EU5">
        <f>BDS("VLY US Equity","SUPPLY_CHAIN_SUPPLIERS_FULL_DATA")</f>
        <v/>
      </c>
      <c r="FI5">
        <f>BDS("VLY US Equity","SUPPLY_CHAIN_CUSTOMERS_FULL_DATA")</f>
        <v/>
      </c>
      <c r="FY5">
        <f>BDS("9990822D US Equity","SUPPLY_CHAIN_SUPPLIERS_FULL_DATA")</f>
        <v/>
      </c>
      <c r="GM5">
        <f>BDS("9990822D US Equity","SUPPLY_CHAIN_CUSTOMERS_FULL_DATA")</f>
        <v/>
      </c>
      <c r="HC5">
        <f>BDS("SUSQ US Equity","SUPPLY_CHAIN_SUPPLIERS_FULL_DATA")</f>
        <v/>
      </c>
      <c r="HQ5">
        <f>BDS("SUSQ US Equity","SUPPLY_CHAIN_CUSTOMERS_FULL_DATA")</f>
        <v/>
      </c>
      <c r="IG5">
        <f>BDS("DGI US Equity","SUPPLY_CHAIN_SUPPLIERS_FULL_DATA")</f>
        <v/>
      </c>
      <c r="IU5">
        <f>BDS("DGI US Equity","SUPPLY_CHAIN_CUSTOMERS_FULL_DATA")</f>
        <v/>
      </c>
      <c r="JK5">
        <f>BDS("LLY US Equity","SUPPLY_CHAIN_SUPPLIERS_FULL_DATA")</f>
        <v/>
      </c>
      <c r="JY5">
        <f>BDS("LLY US Equity","SUPPLY_CHAIN_CUSTOMERS_FULL_DATA")</f>
        <v/>
      </c>
      <c r="KO5">
        <f>BDS("PCP US Equity","SUPPLY_CHAIN_SUPPLIERS_FULL_DATA")</f>
        <v/>
      </c>
      <c r="LC5">
        <f>BDS("PCP US Equity","SUPPLY_CHAIN_CUSTOMERS_FULL_DATA")</f>
        <v/>
      </c>
      <c r="LS5">
        <f>BDS("IP US Equity","SUPPLY_CHAIN_SUPPLIERS_FULL_DATA")</f>
        <v/>
      </c>
      <c r="MG5">
        <f>BDS("IP US Equity","SUPPLY_CHAIN_CUSTOMERS_FULL_DATA")</f>
        <v/>
      </c>
      <c r="MW5">
        <f>BDS("GIS US Equity","SUPPLY_CHAIN_SUPPLIERS_FULL_DATA")</f>
        <v/>
      </c>
      <c r="NK5">
        <f>BDS("GIS US Equity","SUPPLY_CHAIN_CUSTOMERS_FULL_DATA")</f>
        <v/>
      </c>
      <c r="OA5">
        <f>BDS("WBVNQ US Equity","SUPPLY_CHAIN_SUPPLIERS_FULL_DATA")</f>
        <v/>
      </c>
      <c r="OO5">
        <f>BDS("WBVNQ US Equity","SUPPLY_CHAIN_CUSTOMERS_FULL_DATA")</f>
        <v/>
      </c>
      <c r="PE5">
        <f>BDS("VNRSQ US Equity","SUPPLY_CHAIN_SUPPLIERS_FULL_DATA")</f>
        <v/>
      </c>
      <c r="PS5">
        <f>BDS("VNRSQ US Equity","SUPPLY_CHAIN_CUSTOMERS_FULL_DATA")</f>
        <v/>
      </c>
      <c r="QI5">
        <f>BDS("3867693Z US Equity","SUPPLY_CHAIN_SUPPLIERS_FULL_DATA")</f>
        <v/>
      </c>
      <c r="QW5">
        <f>BDS("3867693Z US Equity","SUPPLY_CHAIN_CUSTOMERS_FULL_DATA")</f>
        <v/>
      </c>
      <c r="RM5">
        <f>BDS("0848680D US Equity","SUPPLY_CHAIN_SUPPLIERS_FULL_DATA")</f>
        <v/>
      </c>
      <c r="SA5">
        <f>BDS("0848680D US Equity","SUPPLY_CHAIN_CUSTOMERS_FULL_DATA")</f>
        <v/>
      </c>
      <c r="SQ5">
        <f>BDS("ATI US Equity","SUPPLY_CHAIN_SUPPLIERS_FULL_DATA")</f>
        <v/>
      </c>
      <c r="TE5">
        <f>BDS("ATI US Equity","SUPPLY_CHAIN_CUSTOMERS_FULL_DATA")</f>
        <v/>
      </c>
      <c r="TU5">
        <f>BDS("SCOR US Equity","SUPPLY_CHAIN_SUPPLIERS_FULL_DATA")</f>
        <v/>
      </c>
      <c r="UI5">
        <f>BDS("SCOR US Equity","SUPPLY_CHAIN_CUSTOMERS_FULL_DATA")</f>
        <v/>
      </c>
      <c r="UY5">
        <f>BDS("REVRQ US Equity","SUPPLY_CHAIN_SUPPLIERS_FULL_DATA")</f>
        <v/>
      </c>
      <c r="VM5">
        <f>BDS("REVRQ US Equity","SUPPLY_CHAIN_CUSTOMERS_FULL_DATA")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1521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1522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1523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1524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1525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1526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1527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1528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1529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1530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1531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1532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1533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1534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1535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1536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1537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1538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1539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1540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CG US Equity</t>
        </is>
      </c>
      <c r="AE2" s="3" t="inlineStr">
        <is>
          <t>CAT US Equity</t>
        </is>
      </c>
      <c r="BI2" s="3" t="inlineStr">
        <is>
          <t>ICPXQ US Equity</t>
        </is>
      </c>
      <c r="CM2" s="3" t="inlineStr">
        <is>
          <t>LPT US Equity</t>
        </is>
      </c>
      <c r="DQ2" s="3" t="inlineStr">
        <is>
          <t>LITE US Equity</t>
        </is>
      </c>
      <c r="EU2" s="3" t="inlineStr">
        <is>
          <t>INTC US Equity</t>
        </is>
      </c>
      <c r="FY2" s="3" t="inlineStr">
        <is>
          <t>DK US Equity</t>
        </is>
      </c>
      <c r="HC2" s="3" t="inlineStr">
        <is>
          <t>RVTY US Equity</t>
        </is>
      </c>
      <c r="IG2" s="3" t="inlineStr">
        <is>
          <t>NLY US Equity</t>
        </is>
      </c>
      <c r="JK2" s="3" t="inlineStr">
        <is>
          <t>AAIC US Equity</t>
        </is>
      </c>
      <c r="KO2" s="3" t="inlineStr">
        <is>
          <t>PACW US Equity</t>
        </is>
      </c>
      <c r="LS2" s="3" t="inlineStr">
        <is>
          <t>BX US Equity</t>
        </is>
      </c>
      <c r="MW2" s="3" t="inlineStr">
        <is>
          <t>CRXA US Equity</t>
        </is>
      </c>
      <c r="OA2" s="3" t="inlineStr">
        <is>
          <t>MDT US Equity</t>
        </is>
      </c>
      <c r="PE2" s="3" t="inlineStr">
        <is>
          <t>SFD US Equity</t>
        </is>
      </c>
      <c r="QI2" s="3" t="inlineStr">
        <is>
          <t>UDR US Equity</t>
        </is>
      </c>
      <c r="RM2" s="3" t="inlineStr">
        <is>
          <t>ICGC US Equity</t>
        </is>
      </c>
      <c r="SQ2" s="3" t="inlineStr">
        <is>
          <t>NTLDQ US Equity</t>
        </is>
      </c>
      <c r="TU2" s="3" t="inlineStr">
        <is>
          <t>LEN US Equity</t>
        </is>
      </c>
      <c r="UY2" s="3" t="inlineStr">
        <is>
          <t>KR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BDS("CG US Equity","SUPPLY_CHAIN_SUPPLIERS_FULL_DATA")</f>
        <v/>
      </c>
      <c r="O5">
        <f>BDS("CG US Equity","SUPPLY_CHAIN_CUSTOMERS_FULL_DATA")</f>
        <v/>
      </c>
      <c r="AE5">
        <f>BDS("CAT US Equity","SUPPLY_CHAIN_SUPPLIERS_FULL_DATA")</f>
        <v/>
      </c>
      <c r="AS5">
        <f>BDS("CAT US Equity","SUPPLY_CHAIN_CUSTOMERS_FULL_DATA")</f>
        <v/>
      </c>
      <c r="BI5">
        <f>BDS("ICPXQ US Equity","SUPPLY_CHAIN_SUPPLIERS_FULL_DATA")</f>
        <v/>
      </c>
      <c r="BW5">
        <f>BDS("ICPXQ US Equity","SUPPLY_CHAIN_CUSTOMERS_FULL_DATA")</f>
        <v/>
      </c>
      <c r="CM5">
        <f>BDS("LPT US Equity","SUPPLY_CHAIN_SUPPLIERS_FULL_DATA")</f>
        <v/>
      </c>
      <c r="DA5">
        <f>BDS("LPT US Equity","SUPPLY_CHAIN_CUSTOMERS_FULL_DATA")</f>
        <v/>
      </c>
      <c r="DQ5">
        <f>BDS("LITE US Equity","SUPPLY_CHAIN_SUPPLIERS_FULL_DATA")</f>
        <v/>
      </c>
      <c r="EE5">
        <f>BDS("LITE US Equity","SUPPLY_CHAIN_CUSTOMERS_FULL_DATA")</f>
        <v/>
      </c>
      <c r="EU5">
        <f>BDS("INTC US Equity","SUPPLY_CHAIN_SUPPLIERS_FULL_DATA")</f>
        <v/>
      </c>
      <c r="FI5">
        <f>BDS("INTC US Equity","SUPPLY_CHAIN_CUSTOMERS_FULL_DATA")</f>
        <v/>
      </c>
      <c r="FY5">
        <f>BDS("DK US Equity","SUPPLY_CHAIN_SUPPLIERS_FULL_DATA")</f>
        <v/>
      </c>
      <c r="GM5">
        <f>BDS("DK US Equity","SUPPLY_CHAIN_CUSTOMERS_FULL_DATA")</f>
        <v/>
      </c>
      <c r="HC5">
        <f>BDS("RVTY US Equity","SUPPLY_CHAIN_SUPPLIERS_FULL_DATA")</f>
        <v/>
      </c>
      <c r="HQ5">
        <f>BDS("RVTY US Equity","SUPPLY_CHAIN_CUSTOMERS_FULL_DATA")</f>
        <v/>
      </c>
      <c r="IG5">
        <f>BDS("NLY US Equity","SUPPLY_CHAIN_SUPPLIERS_FULL_DATA")</f>
        <v/>
      </c>
      <c r="IU5">
        <f>BDS("NLY US Equity","SUPPLY_CHAIN_CUSTOMERS_FULL_DATA")</f>
        <v/>
      </c>
      <c r="JK5">
        <f>BDS("AAIC US Equity","SUPPLY_CHAIN_SUPPLIERS_FULL_DATA")</f>
        <v/>
      </c>
      <c r="JY5">
        <f>BDS("AAIC US Equity","SUPPLY_CHAIN_CUSTOMERS_FULL_DATA")</f>
        <v/>
      </c>
      <c r="KO5">
        <f>BDS("PACW US Equity","SUPPLY_CHAIN_SUPPLIERS_FULL_DATA")</f>
        <v/>
      </c>
      <c r="LC5">
        <f>BDS("PACW US Equity","SUPPLY_CHAIN_CUSTOMERS_FULL_DATA")</f>
        <v/>
      </c>
      <c r="LS5">
        <f>BDS("BX US Equity","SUPPLY_CHAIN_SUPPLIERS_FULL_DATA")</f>
        <v/>
      </c>
      <c r="MG5">
        <f>BDS("BX US Equity","SUPPLY_CHAIN_CUSTOMERS_FULL_DATA")</f>
        <v/>
      </c>
      <c r="MW5">
        <f>BDS("CRXA US Equity","SUPPLY_CHAIN_SUPPLIERS_FULL_DATA")</f>
        <v/>
      </c>
      <c r="NK5">
        <f>BDS("CRXA US Equity","SUPPLY_CHAIN_CUSTOMERS_FULL_DATA")</f>
        <v/>
      </c>
      <c r="OA5">
        <f>BDS("MDT US Equity","SUPPLY_CHAIN_SUPPLIERS_FULL_DATA")</f>
        <v/>
      </c>
      <c r="OO5">
        <f>BDS("MDT US Equity","SUPPLY_CHAIN_CUSTOMERS_FULL_DATA")</f>
        <v/>
      </c>
      <c r="PE5">
        <f>BDS("SFD US Equity","SUPPLY_CHAIN_SUPPLIERS_FULL_DATA")</f>
        <v/>
      </c>
      <c r="PS5">
        <f>BDS("SFD US Equity","SUPPLY_CHAIN_CUSTOMERS_FULL_DATA")</f>
        <v/>
      </c>
      <c r="QI5">
        <f>BDS("UDR US Equity","SUPPLY_CHAIN_SUPPLIERS_FULL_DATA")</f>
        <v/>
      </c>
      <c r="QW5">
        <f>BDS("UDR US Equity","SUPPLY_CHAIN_CUSTOMERS_FULL_DATA")</f>
        <v/>
      </c>
      <c r="RM5">
        <f>BDS("ICGC US Equity","SUPPLY_CHAIN_SUPPLIERS_FULL_DATA")</f>
        <v/>
      </c>
      <c r="SA5">
        <f>BDS("ICGC US Equity","SUPPLY_CHAIN_CUSTOMERS_FULL_DATA")</f>
        <v/>
      </c>
      <c r="SQ5">
        <f>BDS("NTLDQ US Equity","SUPPLY_CHAIN_SUPPLIERS_FULL_DATA")</f>
        <v/>
      </c>
      <c r="TE5">
        <f>BDS("NTLDQ US Equity","SUPPLY_CHAIN_CUSTOMERS_FULL_DATA")</f>
        <v/>
      </c>
      <c r="TU5">
        <f>BDS("LEN US Equity","SUPPLY_CHAIN_SUPPLIERS_FULL_DATA")</f>
        <v/>
      </c>
      <c r="UI5">
        <f>BDS("LEN US Equity","SUPPLY_CHAIN_CUSTOMERS_FULL_DATA")</f>
        <v/>
      </c>
      <c r="UY5">
        <f>BDS("KR US Equity","SUPPLY_CHAIN_SUPPLIERS_FULL_DATA")</f>
        <v/>
      </c>
      <c r="VM5">
        <f>BDS("KR US Equity","SUPPLY_CHAIN_CUSTOMERS_FULL_DATA")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1541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1542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1543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1544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1545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1546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1547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1548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1549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1550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1551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1552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1553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1554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1555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1556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1557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1558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1559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1560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SNCR US Equity</t>
        </is>
      </c>
      <c r="AE2" s="3" t="inlineStr">
        <is>
          <t>2596516D US Equity</t>
        </is>
      </c>
      <c r="BI2" s="3" t="inlineStr">
        <is>
          <t>STEL US Equity</t>
        </is>
      </c>
      <c r="CM2" s="3" t="inlineStr">
        <is>
          <t>RRD US Equity</t>
        </is>
      </c>
      <c r="DQ2" s="3" t="inlineStr">
        <is>
          <t>KMB US Equity</t>
        </is>
      </c>
      <c r="EU2" s="3" t="inlineStr">
        <is>
          <t>MS US Equity</t>
        </is>
      </c>
      <c r="FY2" s="3" t="inlineStr">
        <is>
          <t>LKQ US Equity</t>
        </is>
      </c>
      <c r="HC2" s="3" t="inlineStr">
        <is>
          <t>TMHC US Equity</t>
        </is>
      </c>
      <c r="IG2" s="3" t="inlineStr">
        <is>
          <t>0876902D US Equity</t>
        </is>
      </c>
      <c r="JK2" s="3" t="inlineStr">
        <is>
          <t>INTC US Equity</t>
        </is>
      </c>
      <c r="KO2" s="3" t="inlineStr">
        <is>
          <t>355488Q US Equity</t>
        </is>
      </c>
      <c r="LS2" s="3" t="inlineStr">
        <is>
          <t>AA US Equity</t>
        </is>
      </c>
      <c r="MW2" s="3" t="inlineStr">
        <is>
          <t>HPQ US Equity</t>
        </is>
      </c>
      <c r="OA2" s="3" t="inlineStr">
        <is>
          <t>ECOL US Equity</t>
        </is>
      </c>
      <c r="PE2" s="3" t="inlineStr">
        <is>
          <t>CIEN US Equity</t>
        </is>
      </c>
      <c r="QI2" s="3" t="inlineStr">
        <is>
          <t>CVIAQ US Equity</t>
        </is>
      </c>
      <c r="RM2" s="3" t="inlineStr">
        <is>
          <t>1284849D US Equity</t>
        </is>
      </c>
      <c r="SQ2" s="3" t="inlineStr">
        <is>
          <t>DLX US Equity</t>
        </is>
      </c>
      <c r="TU2" s="3" t="inlineStr">
        <is>
          <t>WBA US Equity</t>
        </is>
      </c>
      <c r="UY2" s="3" t="inlineStr">
        <is>
          <t>IBM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BDS("SNCR US Equity","SUPPLY_CHAIN_SUPPLIERS_FULL_DATA")</f>
        <v/>
      </c>
      <c r="O5">
        <f>BDS("SNCR US Equity","SUPPLY_CHAIN_CUSTOMERS_FULL_DATA")</f>
        <v/>
      </c>
      <c r="AE5">
        <f>BDS("2596516D US Equity","SUPPLY_CHAIN_SUPPLIERS_FULL_DATA")</f>
        <v/>
      </c>
      <c r="AS5">
        <f>BDS("2596516D US Equity","SUPPLY_CHAIN_CUSTOMERS_FULL_DATA")</f>
        <v/>
      </c>
      <c r="BI5">
        <f>BDS("STEL US Equity","SUPPLY_CHAIN_SUPPLIERS_FULL_DATA")</f>
        <v/>
      </c>
      <c r="BW5">
        <f>BDS("STEL US Equity","SUPPLY_CHAIN_CUSTOMERS_FULL_DATA")</f>
        <v/>
      </c>
      <c r="CM5">
        <f>BDS("RRD US Equity","SUPPLY_CHAIN_SUPPLIERS_FULL_DATA")</f>
        <v/>
      </c>
      <c r="DA5">
        <f>BDS("RRD US Equity","SUPPLY_CHAIN_CUSTOMERS_FULL_DATA")</f>
        <v/>
      </c>
      <c r="DQ5">
        <f>BDS("KMB US Equity","SUPPLY_CHAIN_SUPPLIERS_FULL_DATA")</f>
        <v/>
      </c>
      <c r="EE5">
        <f>BDS("KMB US Equity","SUPPLY_CHAIN_CUSTOMERS_FULL_DATA")</f>
        <v/>
      </c>
      <c r="EU5">
        <f>BDS("MS US Equity","SUPPLY_CHAIN_SUPPLIERS_FULL_DATA")</f>
        <v/>
      </c>
      <c r="FI5">
        <f>BDS("MS US Equity","SUPPLY_CHAIN_CUSTOMERS_FULL_DATA")</f>
        <v/>
      </c>
      <c r="FY5">
        <f>BDS("LKQ US Equity","SUPPLY_CHAIN_SUPPLIERS_FULL_DATA")</f>
        <v/>
      </c>
      <c r="GM5">
        <f>BDS("LKQ US Equity","SUPPLY_CHAIN_CUSTOMERS_FULL_DATA")</f>
        <v/>
      </c>
      <c r="HC5">
        <f>BDS("TMHC US Equity","SUPPLY_CHAIN_SUPPLIERS_FULL_DATA")</f>
        <v/>
      </c>
      <c r="HQ5">
        <f>BDS("TMHC US Equity","SUPPLY_CHAIN_CUSTOMERS_FULL_DATA")</f>
        <v/>
      </c>
      <c r="IG5">
        <f>BDS("0876902D US Equity","SUPPLY_CHAIN_SUPPLIERS_FULL_DATA")</f>
        <v/>
      </c>
      <c r="IU5">
        <f>BDS("0876902D US Equity","SUPPLY_CHAIN_CUSTOMERS_FULL_DATA")</f>
        <v/>
      </c>
      <c r="JK5">
        <f>BDS("INTC US Equity","SUPPLY_CHAIN_SUPPLIERS_FULL_DATA")</f>
        <v/>
      </c>
      <c r="JY5">
        <f>BDS("INTC US Equity","SUPPLY_CHAIN_CUSTOMERS_FULL_DATA")</f>
        <v/>
      </c>
      <c r="KO5">
        <f>BDS("355488Q US Equity","SUPPLY_CHAIN_SUPPLIERS_FULL_DATA")</f>
        <v/>
      </c>
      <c r="LC5">
        <f>BDS("355488Q US Equity","SUPPLY_CHAIN_CUSTOMERS_FULL_DATA")</f>
        <v/>
      </c>
      <c r="LS5">
        <f>BDS("AA US Equity","SUPPLY_CHAIN_SUPPLIERS_FULL_DATA")</f>
        <v/>
      </c>
      <c r="MG5">
        <f>BDS("AA US Equity","SUPPLY_CHAIN_CUSTOMERS_FULL_DATA")</f>
        <v/>
      </c>
      <c r="MW5">
        <f>BDS("HPQ US Equity","SUPPLY_CHAIN_SUPPLIERS_FULL_DATA")</f>
        <v/>
      </c>
      <c r="NK5">
        <f>BDS("HPQ US Equity","SUPPLY_CHAIN_CUSTOMERS_FULL_DATA")</f>
        <v/>
      </c>
      <c r="OA5">
        <f>BDS("ECOL US Equity","SUPPLY_CHAIN_SUPPLIERS_FULL_DATA")</f>
        <v/>
      </c>
      <c r="OO5">
        <f>BDS("ECOL US Equity","SUPPLY_CHAIN_CUSTOMERS_FULL_DATA")</f>
        <v/>
      </c>
      <c r="PE5">
        <f>BDS("CIEN US Equity","SUPPLY_CHAIN_SUPPLIERS_FULL_DATA")</f>
        <v/>
      </c>
      <c r="PS5">
        <f>BDS("CIEN US Equity","SUPPLY_CHAIN_CUSTOMERS_FULL_DATA")</f>
        <v/>
      </c>
      <c r="QI5">
        <f>BDS("CVIAQ US Equity","SUPPLY_CHAIN_SUPPLIERS_FULL_DATA")</f>
        <v/>
      </c>
      <c r="QW5">
        <f>BDS("CVIAQ US Equity","SUPPLY_CHAIN_CUSTOMERS_FULL_DATA")</f>
        <v/>
      </c>
      <c r="RM5">
        <f>BDS("1284849D US Equity","SUPPLY_CHAIN_SUPPLIERS_FULL_DATA")</f>
        <v/>
      </c>
      <c r="SA5">
        <f>BDS("1284849D US Equity","SUPPLY_CHAIN_CUSTOMERS_FULL_DATA")</f>
        <v/>
      </c>
      <c r="SQ5">
        <f>BDS("DLX US Equity","SUPPLY_CHAIN_SUPPLIERS_FULL_DATA")</f>
        <v/>
      </c>
      <c r="TE5">
        <f>BDS("DLX US Equity","SUPPLY_CHAIN_CUSTOMERS_FULL_DATA")</f>
        <v/>
      </c>
      <c r="TU5">
        <f>BDS("WBA US Equity","SUPPLY_CHAIN_SUPPLIERS_FULL_DATA")</f>
        <v/>
      </c>
      <c r="UI5">
        <f>BDS("WBA US Equity","SUPPLY_CHAIN_CUSTOMERS_FULL_DATA")</f>
        <v/>
      </c>
      <c r="UY5">
        <f>BDS("IBM US Equity","SUPPLY_CHAIN_SUPPLIERS_FULL_DATA")</f>
        <v/>
      </c>
      <c r="VM5">
        <f>BDS("IBM US Equity","SUPPLY_CHAIN_CUSTOMERS_FULL_DATA")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1561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1562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1563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1564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1565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1566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1567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1568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1569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1570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1571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1572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1573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1574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1575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1576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1577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1578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1579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1580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ROVI US Equity</t>
        </is>
      </c>
      <c r="AE2" s="3" t="inlineStr">
        <is>
          <t>CTB US Equity</t>
        </is>
      </c>
      <c r="BI2" s="3" t="inlineStr">
        <is>
          <t>BX US Equity</t>
        </is>
      </c>
      <c r="CM2" s="3" t="inlineStr">
        <is>
          <t>AVT US Equity</t>
        </is>
      </c>
      <c r="DQ2" s="3" t="inlineStr">
        <is>
          <t>SCI US Equity</t>
        </is>
      </c>
      <c r="EU2" s="3" t="inlineStr">
        <is>
          <t>HZNP US Equity</t>
        </is>
      </c>
      <c r="FY2" s="3" t="inlineStr">
        <is>
          <t>6222B US Equity</t>
        </is>
      </c>
      <c r="HC2" s="3" t="inlineStr">
        <is>
          <t>USB US Equity</t>
        </is>
      </c>
      <c r="IG2" s="3" t="inlineStr">
        <is>
          <t>PENN US Equity</t>
        </is>
      </c>
      <c r="JK2" s="3" t="inlineStr">
        <is>
          <t>BIIB US Equity</t>
        </is>
      </c>
      <c r="KO2" s="3" t="inlineStr">
        <is>
          <t>GE US Equity</t>
        </is>
      </c>
      <c r="LS2" s="3" t="inlineStr">
        <is>
          <t>ITRI US Equity</t>
        </is>
      </c>
      <c r="MW2" s="3" t="inlineStr">
        <is>
          <t>PRMW CN Equity</t>
        </is>
      </c>
      <c r="OA2" s="3" t="inlineStr">
        <is>
          <t>NXTL US Equity</t>
        </is>
      </c>
      <c r="PE2" s="3" t="inlineStr">
        <is>
          <t>SHP LN Equity</t>
        </is>
      </c>
      <c r="QI2" s="3" t="inlineStr">
        <is>
          <t>ENS US Equity</t>
        </is>
      </c>
      <c r="RM2" s="3" t="inlineStr">
        <is>
          <t>VLY US Equity</t>
        </is>
      </c>
      <c r="SQ2" s="3" t="inlineStr">
        <is>
          <t>1918938D US Equity</t>
        </is>
      </c>
      <c r="TU2" s="3" t="inlineStr">
        <is>
          <t>BERY US Equity</t>
        </is>
      </c>
      <c r="UY2" s="3" t="inlineStr">
        <is>
          <t>RTX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BDS("ROVI US Equity","SUPPLY_CHAIN_SUPPLIERS_FULL_DATA")</f>
        <v/>
      </c>
      <c r="O5">
        <f>BDS("ROVI US Equity","SUPPLY_CHAIN_CUSTOMERS_FULL_DATA")</f>
        <v/>
      </c>
      <c r="AE5">
        <f>BDS("CTB US Equity","SUPPLY_CHAIN_SUPPLIERS_FULL_DATA")</f>
        <v/>
      </c>
      <c r="AS5">
        <f>BDS("CTB US Equity","SUPPLY_CHAIN_CUSTOMERS_FULL_DATA")</f>
        <v/>
      </c>
      <c r="BI5">
        <f>BDS("BX US Equity","SUPPLY_CHAIN_SUPPLIERS_FULL_DATA")</f>
        <v/>
      </c>
      <c r="BW5">
        <f>BDS("BX US Equity","SUPPLY_CHAIN_CUSTOMERS_FULL_DATA")</f>
        <v/>
      </c>
      <c r="CM5">
        <f>BDS("AVT US Equity","SUPPLY_CHAIN_SUPPLIERS_FULL_DATA")</f>
        <v/>
      </c>
      <c r="DA5">
        <f>BDS("AVT US Equity","SUPPLY_CHAIN_CUSTOMERS_FULL_DATA")</f>
        <v/>
      </c>
      <c r="DQ5">
        <f>BDS("SCI US Equity","SUPPLY_CHAIN_SUPPLIERS_FULL_DATA")</f>
        <v/>
      </c>
      <c r="EE5">
        <f>BDS("SCI US Equity","SUPPLY_CHAIN_CUSTOMERS_FULL_DATA")</f>
        <v/>
      </c>
      <c r="EU5">
        <f>BDS("HZNP US Equity","SUPPLY_CHAIN_SUPPLIERS_FULL_DATA")</f>
        <v/>
      </c>
      <c r="FI5">
        <f>BDS("HZNP US Equity","SUPPLY_CHAIN_CUSTOMERS_FULL_DATA")</f>
        <v/>
      </c>
      <c r="FY5">
        <f>BDS("6222B US Equity","SUPPLY_CHAIN_SUPPLIERS_FULL_DATA")</f>
        <v/>
      </c>
      <c r="GM5">
        <f>BDS("6222B US Equity","SUPPLY_CHAIN_CUSTOMERS_FULL_DATA")</f>
        <v/>
      </c>
      <c r="HC5">
        <f>BDS("USB US Equity","SUPPLY_CHAIN_SUPPLIERS_FULL_DATA")</f>
        <v/>
      </c>
      <c r="HQ5">
        <f>BDS("USB US Equity","SUPPLY_CHAIN_CUSTOMERS_FULL_DATA")</f>
        <v/>
      </c>
      <c r="IG5">
        <f>BDS("PENN US Equity","SUPPLY_CHAIN_SUPPLIERS_FULL_DATA")</f>
        <v/>
      </c>
      <c r="IU5">
        <f>BDS("PENN US Equity","SUPPLY_CHAIN_CUSTOMERS_FULL_DATA")</f>
        <v/>
      </c>
      <c r="JK5">
        <f>BDS("BIIB US Equity","SUPPLY_CHAIN_SUPPLIERS_FULL_DATA")</f>
        <v/>
      </c>
      <c r="JY5">
        <f>BDS("BIIB US Equity","SUPPLY_CHAIN_CUSTOMERS_FULL_DATA")</f>
        <v/>
      </c>
      <c r="KO5">
        <f>BDS("GE US Equity","SUPPLY_CHAIN_SUPPLIERS_FULL_DATA")</f>
        <v/>
      </c>
      <c r="LC5">
        <f>BDS("GE US Equity","SUPPLY_CHAIN_CUSTOMERS_FULL_DATA")</f>
        <v/>
      </c>
      <c r="LS5">
        <f>BDS("ITRI US Equity","SUPPLY_CHAIN_SUPPLIERS_FULL_DATA")</f>
        <v/>
      </c>
      <c r="MG5">
        <f>BDS("ITRI US Equity","SUPPLY_CHAIN_CUSTOMERS_FULL_DATA")</f>
        <v/>
      </c>
      <c r="MW5">
        <f>BDS("PRMW CN Equity","SUPPLY_CHAIN_SUPPLIERS_FULL_DATA")</f>
        <v/>
      </c>
      <c r="NK5">
        <f>BDS("PRMW CN Equity","SUPPLY_CHAIN_CUSTOMERS_FULL_DATA")</f>
        <v/>
      </c>
      <c r="OA5">
        <f>BDS("NXTL US Equity","SUPPLY_CHAIN_SUPPLIERS_FULL_DATA")</f>
        <v/>
      </c>
      <c r="OO5">
        <f>BDS("NXTL US Equity","SUPPLY_CHAIN_CUSTOMERS_FULL_DATA")</f>
        <v/>
      </c>
      <c r="PE5">
        <f>BDS("SHP LN Equity","SUPPLY_CHAIN_SUPPLIERS_FULL_DATA")</f>
        <v/>
      </c>
      <c r="PS5">
        <f>BDS("SHP LN Equity","SUPPLY_CHAIN_CUSTOMERS_FULL_DATA")</f>
        <v/>
      </c>
      <c r="QI5">
        <f>BDS("ENS US Equity","SUPPLY_CHAIN_SUPPLIERS_FULL_DATA")</f>
        <v/>
      </c>
      <c r="QW5">
        <f>BDS("ENS US Equity","SUPPLY_CHAIN_CUSTOMERS_FULL_DATA")</f>
        <v/>
      </c>
      <c r="RM5">
        <f>BDS("VLY US Equity","SUPPLY_CHAIN_SUPPLIERS_FULL_DATA")</f>
        <v/>
      </c>
      <c r="SA5">
        <f>BDS("VLY US Equity","SUPPLY_CHAIN_CUSTOMERS_FULL_DATA")</f>
        <v/>
      </c>
      <c r="SQ5">
        <f>BDS("1918938D US Equity","SUPPLY_CHAIN_SUPPLIERS_FULL_DATA")</f>
        <v/>
      </c>
      <c r="TE5">
        <f>BDS("1918938D US Equity","SUPPLY_CHAIN_CUSTOMERS_FULL_DATA")</f>
        <v/>
      </c>
      <c r="TU5">
        <f>BDS("BERY US Equity","SUPPLY_CHAIN_SUPPLIERS_FULL_DATA")</f>
        <v/>
      </c>
      <c r="UI5">
        <f>BDS("BERY US Equity","SUPPLY_CHAIN_CUSTOMERS_FULL_DATA")</f>
        <v/>
      </c>
      <c r="UY5">
        <f>BDS("RTX US Equity","SUPPLY_CHAIN_SUPPLIERS_FULL_DATA")</f>
        <v/>
      </c>
      <c r="VM5">
        <f>BDS("RTX US Equity","SUPPLY_CHAIN_CUSTOMERS_FULL_DATA")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1581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1582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1583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1584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1585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1586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1587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1588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1589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1590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1591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1592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1593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1594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1595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1596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1597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1598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1599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1600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EPB US Equity</t>
        </is>
      </c>
      <c r="AE2" s="3" t="inlineStr">
        <is>
          <t>9990822D US Equity</t>
        </is>
      </c>
      <c r="BI2" s="3" t="inlineStr">
        <is>
          <t>VIAV US Equity</t>
        </is>
      </c>
      <c r="CM2" s="3" t="inlineStr">
        <is>
          <t>HET US Equity</t>
        </is>
      </c>
      <c r="DQ2" s="3" t="inlineStr">
        <is>
          <t>1436225D US Equity</t>
        </is>
      </c>
      <c r="EU2" s="3" t="inlineStr">
        <is>
          <t>AAL US Equity</t>
        </is>
      </c>
      <c r="FY2" s="3" t="inlineStr">
        <is>
          <t>CG US Equity</t>
        </is>
      </c>
      <c r="HC2" s="3" t="inlineStr">
        <is>
          <t>3423152Q US Equity</t>
        </is>
      </c>
      <c r="IG2" s="3" t="inlineStr">
        <is>
          <t>VRC US Equity</t>
        </is>
      </c>
      <c r="JK2" s="3" t="inlineStr">
        <is>
          <t>2860436Q US Equity</t>
        </is>
      </c>
      <c r="KO2" s="3" t="inlineStr">
        <is>
          <t>VMW US Equity</t>
        </is>
      </c>
      <c r="LS2" s="3" t="inlineStr">
        <is>
          <t>JJZ US Equity</t>
        </is>
      </c>
      <c r="MW2" s="3" t="inlineStr">
        <is>
          <t>2968900Q US Equity</t>
        </is>
      </c>
      <c r="OA2" s="3" t="inlineStr">
        <is>
          <t>EQR US Equity</t>
        </is>
      </c>
      <c r="PE2" s="3" t="inlineStr">
        <is>
          <t>1789494D US Equity</t>
        </is>
      </c>
      <c r="QI2" s="3" t="inlineStr">
        <is>
          <t>STRA US Equity</t>
        </is>
      </c>
      <c r="RM2" s="3" t="inlineStr">
        <is>
          <t>BA US Equity</t>
        </is>
      </c>
      <c r="SQ2" s="3" t="inlineStr">
        <is>
          <t>AUB US Equity</t>
        </is>
      </c>
      <c r="TU2" s="3" t="inlineStr">
        <is>
          <t>EPD US Equity</t>
        </is>
      </c>
      <c r="UY2" s="3" t="inlineStr">
        <is>
          <t>SRE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BDS("EPB US Equity","SUPPLY_CHAIN_SUPPLIERS_FULL_DATA")</f>
        <v/>
      </c>
      <c r="O5">
        <f>BDS("EPB US Equity","SUPPLY_CHAIN_CUSTOMERS_FULL_DATA")</f>
        <v/>
      </c>
      <c r="AE5">
        <f>BDS("9990822D US Equity","SUPPLY_CHAIN_SUPPLIERS_FULL_DATA")</f>
        <v/>
      </c>
      <c r="AS5">
        <f>BDS("9990822D US Equity","SUPPLY_CHAIN_CUSTOMERS_FULL_DATA")</f>
        <v/>
      </c>
      <c r="BI5">
        <f>BDS("VIAV US Equity","SUPPLY_CHAIN_SUPPLIERS_FULL_DATA")</f>
        <v/>
      </c>
      <c r="BW5">
        <f>BDS("VIAV US Equity","SUPPLY_CHAIN_CUSTOMERS_FULL_DATA")</f>
        <v/>
      </c>
      <c r="CM5">
        <f>BDS("HET US Equity","SUPPLY_CHAIN_SUPPLIERS_FULL_DATA")</f>
        <v/>
      </c>
      <c r="DA5">
        <f>BDS("HET US Equity","SUPPLY_CHAIN_CUSTOMERS_FULL_DATA")</f>
        <v/>
      </c>
      <c r="DQ5">
        <f>BDS("1436225D US Equity","SUPPLY_CHAIN_SUPPLIERS_FULL_DATA")</f>
        <v/>
      </c>
      <c r="EE5">
        <f>BDS("1436225D US Equity","SUPPLY_CHAIN_CUSTOMERS_FULL_DATA")</f>
        <v/>
      </c>
      <c r="EU5">
        <f>BDS("AAL US Equity","SUPPLY_CHAIN_SUPPLIERS_FULL_DATA")</f>
        <v/>
      </c>
      <c r="FI5">
        <f>BDS("AAL US Equity","SUPPLY_CHAIN_CUSTOMERS_FULL_DATA")</f>
        <v/>
      </c>
      <c r="FY5">
        <f>BDS("CG US Equity","SUPPLY_CHAIN_SUPPLIERS_FULL_DATA")</f>
        <v/>
      </c>
      <c r="GM5">
        <f>BDS("CG US Equity","SUPPLY_CHAIN_CUSTOMERS_FULL_DATA")</f>
        <v/>
      </c>
      <c r="HC5">
        <f>BDS("3423152Q US Equity","SUPPLY_CHAIN_SUPPLIERS_FULL_DATA")</f>
        <v/>
      </c>
      <c r="HQ5">
        <f>BDS("3423152Q US Equity","SUPPLY_CHAIN_CUSTOMERS_FULL_DATA")</f>
        <v/>
      </c>
      <c r="IG5">
        <f>BDS("VRC US Equity","SUPPLY_CHAIN_SUPPLIERS_FULL_DATA")</f>
        <v/>
      </c>
      <c r="IU5">
        <f>BDS("VRC US Equity","SUPPLY_CHAIN_CUSTOMERS_FULL_DATA")</f>
        <v/>
      </c>
      <c r="JK5">
        <f>BDS("2860436Q US Equity","SUPPLY_CHAIN_SUPPLIERS_FULL_DATA")</f>
        <v/>
      </c>
      <c r="JY5">
        <f>BDS("2860436Q US Equity","SUPPLY_CHAIN_CUSTOMERS_FULL_DATA")</f>
        <v/>
      </c>
      <c r="KO5">
        <f>BDS("VMW US Equity","SUPPLY_CHAIN_SUPPLIERS_FULL_DATA")</f>
        <v/>
      </c>
      <c r="LC5">
        <f>BDS("VMW US Equity","SUPPLY_CHAIN_CUSTOMERS_FULL_DATA")</f>
        <v/>
      </c>
      <c r="LS5">
        <f>BDS("JJZ US Equity","SUPPLY_CHAIN_SUPPLIERS_FULL_DATA")</f>
        <v/>
      </c>
      <c r="MG5">
        <f>BDS("JJZ US Equity","SUPPLY_CHAIN_CUSTOMERS_FULL_DATA")</f>
        <v/>
      </c>
      <c r="MW5">
        <f>BDS("2968900Q US Equity","SUPPLY_CHAIN_SUPPLIERS_FULL_DATA")</f>
        <v/>
      </c>
      <c r="NK5">
        <f>BDS("2968900Q US Equity","SUPPLY_CHAIN_CUSTOMERS_FULL_DATA")</f>
        <v/>
      </c>
      <c r="OA5">
        <f>BDS("EQR US Equity","SUPPLY_CHAIN_SUPPLIERS_FULL_DATA")</f>
        <v/>
      </c>
      <c r="OO5">
        <f>BDS("EQR US Equity","SUPPLY_CHAIN_CUSTOMERS_FULL_DATA")</f>
        <v/>
      </c>
      <c r="PE5">
        <f>BDS("1789494D US Equity","SUPPLY_CHAIN_SUPPLIERS_FULL_DATA")</f>
        <v/>
      </c>
      <c r="PS5">
        <f>BDS("1789494D US Equity","SUPPLY_CHAIN_CUSTOMERS_FULL_DATA")</f>
        <v/>
      </c>
      <c r="QI5">
        <f>BDS("STRA US Equity","SUPPLY_CHAIN_SUPPLIERS_FULL_DATA")</f>
        <v/>
      </c>
      <c r="QW5">
        <f>BDS("STRA US Equity","SUPPLY_CHAIN_CUSTOMERS_FULL_DATA")</f>
        <v/>
      </c>
      <c r="RM5">
        <f>BDS("BA US Equity","SUPPLY_CHAIN_SUPPLIERS_FULL_DATA")</f>
        <v/>
      </c>
      <c r="SA5">
        <f>BDS("BA US Equity","SUPPLY_CHAIN_CUSTOMERS_FULL_DATA")</f>
        <v/>
      </c>
      <c r="SQ5">
        <f>BDS("AUB US Equity","SUPPLY_CHAIN_SUPPLIERS_FULL_DATA")</f>
        <v/>
      </c>
      <c r="TE5">
        <f>BDS("AUB US Equity","SUPPLY_CHAIN_CUSTOMERS_FULL_DATA")</f>
        <v/>
      </c>
      <c r="TU5">
        <f>BDS("EPD US Equity","SUPPLY_CHAIN_SUPPLIERS_FULL_DATA")</f>
        <v/>
      </c>
      <c r="UI5">
        <f>BDS("EPD US Equity","SUPPLY_CHAIN_CUSTOMERS_FULL_DATA")</f>
        <v/>
      </c>
      <c r="UY5">
        <f>BDS("SRE US Equity","SUPPLY_CHAIN_SUPPLIERS_FULL_DATA")</f>
        <v/>
      </c>
      <c r="VM5">
        <f>BDS("SRE US Equity","SUPPLY_CHAIN_CUSTOMERS_FULL_DATA")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1601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1602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1603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1604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1605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1606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1607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1608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1609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1610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1611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1612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1613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1614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1615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1616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1617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1618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1619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1620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WELL US Equity</t>
        </is>
      </c>
      <c r="AE2" s="3" t="inlineStr">
        <is>
          <t>PBCT US Equity</t>
        </is>
      </c>
      <c r="BI2" s="3" t="inlineStr">
        <is>
          <t>NEM US Equity</t>
        </is>
      </c>
      <c r="CM2" s="3" t="inlineStr">
        <is>
          <t>FLG US Equity</t>
        </is>
      </c>
      <c r="DQ2" s="3" t="inlineStr">
        <is>
          <t>FTV US Equity</t>
        </is>
      </c>
      <c r="EU2" s="3" t="inlineStr">
        <is>
          <t>BMY US Equity</t>
        </is>
      </c>
      <c r="FY2" s="3" t="inlineStr">
        <is>
          <t>ORCL US Equity</t>
        </is>
      </c>
      <c r="HC2" s="3" t="inlineStr">
        <is>
          <t>AIG US Equity</t>
        </is>
      </c>
      <c r="IG2" s="3" t="inlineStr">
        <is>
          <t>FITB US Equity</t>
        </is>
      </c>
      <c r="JK2" s="3" t="inlineStr">
        <is>
          <t>NFB US Equity</t>
        </is>
      </c>
      <c r="KO2" s="3" t="inlineStr">
        <is>
          <t>ANSS US Equity</t>
        </is>
      </c>
      <c r="LS2" s="3" t="inlineStr">
        <is>
          <t>PBCT US Equity</t>
        </is>
      </c>
      <c r="MW2" s="3" t="inlineStr">
        <is>
          <t>LFUS US Equity</t>
        </is>
      </c>
      <c r="OA2" s="3" t="inlineStr">
        <is>
          <t>PCP US Equity</t>
        </is>
      </c>
      <c r="PE2" s="3" t="inlineStr">
        <is>
          <t>UNTD US Equity</t>
        </is>
      </c>
      <c r="QI2" s="3" t="inlineStr">
        <is>
          <t>nan Equity</t>
        </is>
      </c>
      <c r="RM2" s="3" t="inlineStr">
        <is>
          <t>nan Equity</t>
        </is>
      </c>
      <c r="SQ2" s="3" t="inlineStr">
        <is>
          <t>2307762D US Equity</t>
        </is>
      </c>
      <c r="TU2" s="3" t="inlineStr">
        <is>
          <t>EQY US Equity</t>
        </is>
      </c>
      <c r="UY2" s="3" t="inlineStr">
        <is>
          <t>1847569D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BDS("WELL US Equity","SUPPLY_CHAIN_SUPPLIERS_FULL_DATA")</f>
        <v/>
      </c>
      <c r="O5">
        <f>BDS("WELL US Equity","SUPPLY_CHAIN_CUSTOMERS_FULL_DATA")</f>
        <v/>
      </c>
      <c r="AE5">
        <f>BDS("PBCT US Equity","SUPPLY_CHAIN_SUPPLIERS_FULL_DATA")</f>
        <v/>
      </c>
      <c r="AS5">
        <f>BDS("PBCT US Equity","SUPPLY_CHAIN_CUSTOMERS_FULL_DATA")</f>
        <v/>
      </c>
      <c r="BI5">
        <f>BDS("NEM US Equity","SUPPLY_CHAIN_SUPPLIERS_FULL_DATA")</f>
        <v/>
      </c>
      <c r="BW5">
        <f>BDS("NEM US Equity","SUPPLY_CHAIN_CUSTOMERS_FULL_DATA")</f>
        <v/>
      </c>
      <c r="CM5">
        <f>BDS("FLG US Equity","SUPPLY_CHAIN_SUPPLIERS_FULL_DATA")</f>
        <v/>
      </c>
      <c r="DA5">
        <f>BDS("FLG US Equity","SUPPLY_CHAIN_CUSTOMERS_FULL_DATA")</f>
        <v/>
      </c>
      <c r="DQ5">
        <f>BDS("FTV US Equity","SUPPLY_CHAIN_SUPPLIERS_FULL_DATA")</f>
        <v/>
      </c>
      <c r="EE5">
        <f>BDS("FTV US Equity","SUPPLY_CHAIN_CUSTOMERS_FULL_DATA")</f>
        <v/>
      </c>
      <c r="EU5">
        <f>BDS("BMY US Equity","SUPPLY_CHAIN_SUPPLIERS_FULL_DATA")</f>
        <v/>
      </c>
      <c r="FI5">
        <f>BDS("BMY US Equity","SUPPLY_CHAIN_CUSTOMERS_FULL_DATA")</f>
        <v/>
      </c>
      <c r="FY5">
        <f>BDS("ORCL US Equity","SUPPLY_CHAIN_SUPPLIERS_FULL_DATA")</f>
        <v/>
      </c>
      <c r="GM5">
        <f>BDS("ORCL US Equity","SUPPLY_CHAIN_CUSTOMERS_FULL_DATA")</f>
        <v/>
      </c>
      <c r="HC5">
        <f>BDS("AIG US Equity","SUPPLY_CHAIN_SUPPLIERS_FULL_DATA")</f>
        <v/>
      </c>
      <c r="HQ5">
        <f>BDS("AIG US Equity","SUPPLY_CHAIN_CUSTOMERS_FULL_DATA")</f>
        <v/>
      </c>
      <c r="IG5">
        <f>BDS("FITB US Equity","SUPPLY_CHAIN_SUPPLIERS_FULL_DATA")</f>
        <v/>
      </c>
      <c r="IU5">
        <f>BDS("FITB US Equity","SUPPLY_CHAIN_CUSTOMERS_FULL_DATA")</f>
        <v/>
      </c>
      <c r="JK5">
        <f>BDS("NFB US Equity","SUPPLY_CHAIN_SUPPLIERS_FULL_DATA")</f>
        <v/>
      </c>
      <c r="JY5">
        <f>BDS("NFB US Equity","SUPPLY_CHAIN_CUSTOMERS_FULL_DATA")</f>
        <v/>
      </c>
      <c r="KO5">
        <f>BDS("ANSS US Equity","SUPPLY_CHAIN_SUPPLIERS_FULL_DATA")</f>
        <v/>
      </c>
      <c r="LC5">
        <f>BDS("ANSS US Equity","SUPPLY_CHAIN_CUSTOMERS_FULL_DATA")</f>
        <v/>
      </c>
      <c r="LS5">
        <f>BDS("PBCT US Equity","SUPPLY_CHAIN_SUPPLIERS_FULL_DATA")</f>
        <v/>
      </c>
      <c r="MG5">
        <f>BDS("PBCT US Equity","SUPPLY_CHAIN_CUSTOMERS_FULL_DATA")</f>
        <v/>
      </c>
      <c r="MW5">
        <f>BDS("LFUS US Equity","SUPPLY_CHAIN_SUPPLIERS_FULL_DATA")</f>
        <v/>
      </c>
      <c r="NK5">
        <f>BDS("LFUS US Equity","SUPPLY_CHAIN_CUSTOMERS_FULL_DATA")</f>
        <v/>
      </c>
      <c r="OA5">
        <f>BDS("PCP US Equity","SUPPLY_CHAIN_SUPPLIERS_FULL_DATA")</f>
        <v/>
      </c>
      <c r="OO5">
        <f>BDS("PCP US Equity","SUPPLY_CHAIN_CUSTOMERS_FULL_DATA")</f>
        <v/>
      </c>
      <c r="PE5">
        <f>BDS("UNTD US Equity","SUPPLY_CHAIN_SUPPLIERS_FULL_DATA")</f>
        <v/>
      </c>
      <c r="PS5">
        <f>BDS("UNTD US Equity","SUPPLY_CHAIN_CUSTOMERS_FULL_DATA")</f>
        <v/>
      </c>
      <c r="QI5">
        <f>BDS("nan Equity","SUPPLY_CHAIN_SUPPLIERS_FULL_DATA")</f>
        <v/>
      </c>
      <c r="QW5">
        <f>BDS("nan Equity","SUPPLY_CHAIN_CUSTOMERS_FULL_DATA")</f>
        <v/>
      </c>
      <c r="RM5">
        <f>BDS("nan Equity","SUPPLY_CHAIN_SUPPLIERS_FULL_DATA")</f>
        <v/>
      </c>
      <c r="SA5">
        <f>BDS("nan Equity","SUPPLY_CHAIN_CUSTOMERS_FULL_DATA")</f>
        <v/>
      </c>
      <c r="SQ5">
        <f>BDS("2307762D US Equity","SUPPLY_CHAIN_SUPPLIERS_FULL_DATA")</f>
        <v/>
      </c>
      <c r="TE5">
        <f>BDS("2307762D US Equity","SUPPLY_CHAIN_CUSTOMERS_FULL_DATA")</f>
        <v/>
      </c>
      <c r="TU5">
        <f>BDS("EQY US Equity","SUPPLY_CHAIN_SUPPLIERS_FULL_DATA")</f>
        <v/>
      </c>
      <c r="UI5">
        <f>BDS("EQY US Equity","SUPPLY_CHAIN_CUSTOMERS_FULL_DATA")</f>
        <v/>
      </c>
      <c r="UY5">
        <f>BDS("1847569D US Equity","SUPPLY_CHAIN_SUPPLIERS_FULL_DATA")</f>
        <v/>
      </c>
      <c r="VM5">
        <f>BDS("1847569D US Equity","SUPPLY_CHAIN_CUSTOMERS_FULL_DATA")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1621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1622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1623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1624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1625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1626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1627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1628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1629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1630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1631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1632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1633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1634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1635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1636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1637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1638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1639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1640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MCHP US Equity</t>
        </is>
      </c>
      <c r="AE2" s="3" t="inlineStr">
        <is>
          <t>9990822D US Equity</t>
        </is>
      </c>
      <c r="BI2" s="3" t="inlineStr">
        <is>
          <t>MWV US Equity</t>
        </is>
      </c>
      <c r="CM2" s="3" t="inlineStr">
        <is>
          <t>CRBC US Equity</t>
        </is>
      </c>
      <c r="DQ2" s="3" t="inlineStr">
        <is>
          <t>PACW US Equity</t>
        </is>
      </c>
      <c r="EU2" s="3" t="inlineStr">
        <is>
          <t>2213185D US Equity</t>
        </is>
      </c>
      <c r="FY2" s="3" t="inlineStr">
        <is>
          <t>F US Equity</t>
        </is>
      </c>
      <c r="HC2" s="3" t="inlineStr">
        <is>
          <t>MS US Equity</t>
        </is>
      </c>
      <c r="IG2" s="3" t="inlineStr">
        <is>
          <t>BVSN US Equity</t>
        </is>
      </c>
      <c r="JK2" s="3" t="inlineStr">
        <is>
          <t>KIM US Equity</t>
        </is>
      </c>
      <c r="KO2" s="3" t="inlineStr">
        <is>
          <t>390297Q US Equity</t>
        </is>
      </c>
      <c r="LS2" s="3" t="inlineStr">
        <is>
          <t>GEN US Equity</t>
        </is>
      </c>
      <c r="MW2" s="3" t="inlineStr">
        <is>
          <t>INDB US Equity</t>
        </is>
      </c>
      <c r="OA2" s="3" t="inlineStr">
        <is>
          <t>RSLN US Equity</t>
        </is>
      </c>
      <c r="PE2" s="3" t="inlineStr">
        <is>
          <t>DALRQ US Equity</t>
        </is>
      </c>
      <c r="QI2" s="3" t="inlineStr">
        <is>
          <t>KMB US Equity</t>
        </is>
      </c>
      <c r="RM2" s="3" t="inlineStr">
        <is>
          <t>RYN US Equity</t>
        </is>
      </c>
      <c r="SQ2" s="3" t="inlineStr">
        <is>
          <t>1541946D US Equity</t>
        </is>
      </c>
      <c r="TU2" s="3" t="inlineStr">
        <is>
          <t>FRG US Equity</t>
        </is>
      </c>
      <c r="UY2" s="3" t="inlineStr">
        <is>
          <t>SNPS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BDS("MCHP US Equity","SUPPLY_CHAIN_SUPPLIERS_FULL_DATA")</f>
        <v/>
      </c>
      <c r="O5">
        <f>BDS("MCHP US Equity","SUPPLY_CHAIN_CUSTOMERS_FULL_DATA")</f>
        <v/>
      </c>
      <c r="AE5">
        <f>BDS("9990822D US Equity","SUPPLY_CHAIN_SUPPLIERS_FULL_DATA")</f>
        <v/>
      </c>
      <c r="AS5">
        <f>BDS("9990822D US Equity","SUPPLY_CHAIN_CUSTOMERS_FULL_DATA")</f>
        <v/>
      </c>
      <c r="BI5">
        <f>BDS("MWV US Equity","SUPPLY_CHAIN_SUPPLIERS_FULL_DATA")</f>
        <v/>
      </c>
      <c r="BW5">
        <f>BDS("MWV US Equity","SUPPLY_CHAIN_CUSTOMERS_FULL_DATA")</f>
        <v/>
      </c>
      <c r="CM5">
        <f>BDS("CRBC US Equity","SUPPLY_CHAIN_SUPPLIERS_FULL_DATA")</f>
        <v/>
      </c>
      <c r="DA5">
        <f>BDS("CRBC US Equity","SUPPLY_CHAIN_CUSTOMERS_FULL_DATA")</f>
        <v/>
      </c>
      <c r="DQ5">
        <f>BDS("PACW US Equity","SUPPLY_CHAIN_SUPPLIERS_FULL_DATA")</f>
        <v/>
      </c>
      <c r="EE5">
        <f>BDS("PACW US Equity","SUPPLY_CHAIN_CUSTOMERS_FULL_DATA")</f>
        <v/>
      </c>
      <c r="EU5">
        <f>BDS("2213185D US Equity","SUPPLY_CHAIN_SUPPLIERS_FULL_DATA")</f>
        <v/>
      </c>
      <c r="FI5">
        <f>BDS("2213185D US Equity","SUPPLY_CHAIN_CUSTOMERS_FULL_DATA")</f>
        <v/>
      </c>
      <c r="FY5">
        <f>BDS("F US Equity","SUPPLY_CHAIN_SUPPLIERS_FULL_DATA")</f>
        <v/>
      </c>
      <c r="GM5">
        <f>BDS("F US Equity","SUPPLY_CHAIN_CUSTOMERS_FULL_DATA")</f>
        <v/>
      </c>
      <c r="HC5">
        <f>BDS("MS US Equity","SUPPLY_CHAIN_SUPPLIERS_FULL_DATA")</f>
        <v/>
      </c>
      <c r="HQ5">
        <f>BDS("MS US Equity","SUPPLY_CHAIN_CUSTOMERS_FULL_DATA")</f>
        <v/>
      </c>
      <c r="IG5">
        <f>BDS("BVSN US Equity","SUPPLY_CHAIN_SUPPLIERS_FULL_DATA")</f>
        <v/>
      </c>
      <c r="IU5">
        <f>BDS("BVSN US Equity","SUPPLY_CHAIN_CUSTOMERS_FULL_DATA")</f>
        <v/>
      </c>
      <c r="JK5">
        <f>BDS("KIM US Equity","SUPPLY_CHAIN_SUPPLIERS_FULL_DATA")</f>
        <v/>
      </c>
      <c r="JY5">
        <f>BDS("KIM US Equity","SUPPLY_CHAIN_CUSTOMERS_FULL_DATA")</f>
        <v/>
      </c>
      <c r="KO5">
        <f>BDS("390297Q US Equity","SUPPLY_CHAIN_SUPPLIERS_FULL_DATA")</f>
        <v/>
      </c>
      <c r="LC5">
        <f>BDS("390297Q US Equity","SUPPLY_CHAIN_CUSTOMERS_FULL_DATA")</f>
        <v/>
      </c>
      <c r="LS5">
        <f>BDS("GEN US Equity","SUPPLY_CHAIN_SUPPLIERS_FULL_DATA")</f>
        <v/>
      </c>
      <c r="MG5">
        <f>BDS("GEN US Equity","SUPPLY_CHAIN_CUSTOMERS_FULL_DATA")</f>
        <v/>
      </c>
      <c r="MW5">
        <f>BDS("INDB US Equity","SUPPLY_CHAIN_SUPPLIERS_FULL_DATA")</f>
        <v/>
      </c>
      <c r="NK5">
        <f>BDS("INDB US Equity","SUPPLY_CHAIN_CUSTOMERS_FULL_DATA")</f>
        <v/>
      </c>
      <c r="OA5">
        <f>BDS("RSLN US Equity","SUPPLY_CHAIN_SUPPLIERS_FULL_DATA")</f>
        <v/>
      </c>
      <c r="OO5">
        <f>BDS("RSLN US Equity","SUPPLY_CHAIN_CUSTOMERS_FULL_DATA")</f>
        <v/>
      </c>
      <c r="PE5">
        <f>BDS("DALRQ US Equity","SUPPLY_CHAIN_SUPPLIERS_FULL_DATA")</f>
        <v/>
      </c>
      <c r="PS5">
        <f>BDS("DALRQ US Equity","SUPPLY_CHAIN_CUSTOMERS_FULL_DATA")</f>
        <v/>
      </c>
      <c r="QI5">
        <f>BDS("KMB US Equity","SUPPLY_CHAIN_SUPPLIERS_FULL_DATA")</f>
        <v/>
      </c>
      <c r="QW5">
        <f>BDS("KMB US Equity","SUPPLY_CHAIN_CUSTOMERS_FULL_DATA")</f>
        <v/>
      </c>
      <c r="RM5">
        <f>BDS("RYN US Equity","SUPPLY_CHAIN_SUPPLIERS_FULL_DATA")</f>
        <v/>
      </c>
      <c r="SA5">
        <f>BDS("RYN US Equity","SUPPLY_CHAIN_CUSTOMERS_FULL_DATA")</f>
        <v/>
      </c>
      <c r="SQ5">
        <f>BDS("1541946D US Equity","SUPPLY_CHAIN_SUPPLIERS_FULL_DATA")</f>
        <v/>
      </c>
      <c r="TE5">
        <f>BDS("1541946D US Equity","SUPPLY_CHAIN_CUSTOMERS_FULL_DATA")</f>
        <v/>
      </c>
      <c r="TU5">
        <f>BDS("FRG US Equity","SUPPLY_CHAIN_SUPPLIERS_FULL_DATA")</f>
        <v/>
      </c>
      <c r="UI5">
        <f>BDS("FRG US Equity","SUPPLY_CHAIN_CUSTOMERS_FULL_DATA")</f>
        <v/>
      </c>
      <c r="UY5">
        <f>BDS("SNPS US Equity","SUPPLY_CHAIN_SUPPLIERS_FULL_DATA")</f>
        <v/>
      </c>
      <c r="VM5">
        <f>BDS("SNPS US Equity","SUPPLY_CHAIN_CUSTOMERS_FULL_DATA")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1641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1642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1643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1644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1645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1646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1647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1648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1649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1650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1651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1652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1653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1654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1655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1656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1657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1658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1659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1660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OSIP US Equity</t>
        </is>
      </c>
      <c r="AE2" s="3" t="inlineStr">
        <is>
          <t>540513Q US Equity</t>
        </is>
      </c>
      <c r="BI2" s="3" t="inlineStr">
        <is>
          <t>IBM US Equity</t>
        </is>
      </c>
      <c r="CM2" s="3" t="inlineStr">
        <is>
          <t>RRD US Equity</t>
        </is>
      </c>
      <c r="DQ2" s="3" t="inlineStr">
        <is>
          <t>3353984Q US Equity</t>
        </is>
      </c>
      <c r="EU2" s="3" t="inlineStr">
        <is>
          <t>TYG US Equity</t>
        </is>
      </c>
      <c r="FY2" s="3" t="inlineStr">
        <is>
          <t>LLY US Equity</t>
        </is>
      </c>
      <c r="HC2" s="3" t="inlineStr">
        <is>
          <t>IBM US Equity</t>
        </is>
      </c>
      <c r="IG2" s="3" t="inlineStr">
        <is>
          <t>SPTN US Equity</t>
        </is>
      </c>
      <c r="JK2" s="3" t="inlineStr">
        <is>
          <t>1431816D US Equity</t>
        </is>
      </c>
      <c r="KO2" s="3" t="inlineStr">
        <is>
          <t>GAS US Equity</t>
        </is>
      </c>
      <c r="LS2" s="3" t="inlineStr">
        <is>
          <t>1367809D US Equity</t>
        </is>
      </c>
      <c r="MW2" s="3" t="inlineStr">
        <is>
          <t>EA US Equity</t>
        </is>
      </c>
      <c r="OA2" s="3" t="inlineStr">
        <is>
          <t>GEO US Equity</t>
        </is>
      </c>
      <c r="PE2" s="3" t="inlineStr">
        <is>
          <t>ES US Equity</t>
        </is>
      </c>
      <c r="QI2" s="3" t="inlineStr">
        <is>
          <t>496160Q US Equity</t>
        </is>
      </c>
      <c r="RM2" s="3" t="inlineStr">
        <is>
          <t>AMMD US Equity</t>
        </is>
      </c>
      <c r="SQ2" s="3" t="inlineStr">
        <is>
          <t>2674129Q US Equity</t>
        </is>
      </c>
      <c r="TU2" s="3" t="inlineStr">
        <is>
          <t>BRCD US Equity</t>
        </is>
      </c>
      <c r="UY2" s="3" t="inlineStr">
        <is>
          <t>PNC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BDS("OSIP US Equity","SUPPLY_CHAIN_SUPPLIERS_FULL_DATA")</f>
        <v/>
      </c>
      <c r="O5">
        <f>BDS("OSIP US Equity","SUPPLY_CHAIN_CUSTOMERS_FULL_DATA")</f>
        <v/>
      </c>
      <c r="AE5">
        <f>BDS("540513Q US Equity","SUPPLY_CHAIN_SUPPLIERS_FULL_DATA")</f>
        <v/>
      </c>
      <c r="AS5">
        <f>BDS("540513Q US Equity","SUPPLY_CHAIN_CUSTOMERS_FULL_DATA")</f>
        <v/>
      </c>
      <c r="BI5">
        <f>BDS("IBM US Equity","SUPPLY_CHAIN_SUPPLIERS_FULL_DATA")</f>
        <v/>
      </c>
      <c r="BW5">
        <f>BDS("IBM US Equity","SUPPLY_CHAIN_CUSTOMERS_FULL_DATA")</f>
        <v/>
      </c>
      <c r="CM5">
        <f>BDS("RRD US Equity","SUPPLY_CHAIN_SUPPLIERS_FULL_DATA")</f>
        <v/>
      </c>
      <c r="DA5">
        <f>BDS("RRD US Equity","SUPPLY_CHAIN_CUSTOMERS_FULL_DATA")</f>
        <v/>
      </c>
      <c r="DQ5">
        <f>BDS("3353984Q US Equity","SUPPLY_CHAIN_SUPPLIERS_FULL_DATA")</f>
        <v/>
      </c>
      <c r="EE5">
        <f>BDS("3353984Q US Equity","SUPPLY_CHAIN_CUSTOMERS_FULL_DATA")</f>
        <v/>
      </c>
      <c r="EU5">
        <f>BDS("TYG US Equity","SUPPLY_CHAIN_SUPPLIERS_FULL_DATA")</f>
        <v/>
      </c>
      <c r="FI5">
        <f>BDS("TYG US Equity","SUPPLY_CHAIN_CUSTOMERS_FULL_DATA")</f>
        <v/>
      </c>
      <c r="FY5">
        <f>BDS("LLY US Equity","SUPPLY_CHAIN_SUPPLIERS_FULL_DATA")</f>
        <v/>
      </c>
      <c r="GM5">
        <f>BDS("LLY US Equity","SUPPLY_CHAIN_CUSTOMERS_FULL_DATA")</f>
        <v/>
      </c>
      <c r="HC5">
        <f>BDS("IBM US Equity","SUPPLY_CHAIN_SUPPLIERS_FULL_DATA")</f>
        <v/>
      </c>
      <c r="HQ5">
        <f>BDS("IBM US Equity","SUPPLY_CHAIN_CUSTOMERS_FULL_DATA")</f>
        <v/>
      </c>
      <c r="IG5">
        <f>BDS("SPTN US Equity","SUPPLY_CHAIN_SUPPLIERS_FULL_DATA")</f>
        <v/>
      </c>
      <c r="IU5">
        <f>BDS("SPTN US Equity","SUPPLY_CHAIN_CUSTOMERS_FULL_DATA")</f>
        <v/>
      </c>
      <c r="JK5">
        <f>BDS("1431816D US Equity","SUPPLY_CHAIN_SUPPLIERS_FULL_DATA")</f>
        <v/>
      </c>
      <c r="JY5">
        <f>BDS("1431816D US Equity","SUPPLY_CHAIN_CUSTOMERS_FULL_DATA")</f>
        <v/>
      </c>
      <c r="KO5">
        <f>BDS("GAS US Equity","SUPPLY_CHAIN_SUPPLIERS_FULL_DATA")</f>
        <v/>
      </c>
      <c r="LC5">
        <f>BDS("GAS US Equity","SUPPLY_CHAIN_CUSTOMERS_FULL_DATA")</f>
        <v/>
      </c>
      <c r="LS5">
        <f>BDS("1367809D US Equity","SUPPLY_CHAIN_SUPPLIERS_FULL_DATA")</f>
        <v/>
      </c>
      <c r="MG5">
        <f>BDS("1367809D US Equity","SUPPLY_CHAIN_CUSTOMERS_FULL_DATA")</f>
        <v/>
      </c>
      <c r="MW5">
        <f>BDS("EA US Equity","SUPPLY_CHAIN_SUPPLIERS_FULL_DATA")</f>
        <v/>
      </c>
      <c r="NK5">
        <f>BDS("EA US Equity","SUPPLY_CHAIN_CUSTOMERS_FULL_DATA")</f>
        <v/>
      </c>
      <c r="OA5">
        <f>BDS("GEO US Equity","SUPPLY_CHAIN_SUPPLIERS_FULL_DATA")</f>
        <v/>
      </c>
      <c r="OO5">
        <f>BDS("GEO US Equity","SUPPLY_CHAIN_CUSTOMERS_FULL_DATA")</f>
        <v/>
      </c>
      <c r="PE5">
        <f>BDS("ES US Equity","SUPPLY_CHAIN_SUPPLIERS_FULL_DATA")</f>
        <v/>
      </c>
      <c r="PS5">
        <f>BDS("ES US Equity","SUPPLY_CHAIN_CUSTOMERS_FULL_DATA")</f>
        <v/>
      </c>
      <c r="QI5">
        <f>BDS("496160Q US Equity","SUPPLY_CHAIN_SUPPLIERS_FULL_DATA")</f>
        <v/>
      </c>
      <c r="QW5">
        <f>BDS("496160Q US Equity","SUPPLY_CHAIN_CUSTOMERS_FULL_DATA")</f>
        <v/>
      </c>
      <c r="RM5">
        <f>BDS("AMMD US Equity","SUPPLY_CHAIN_SUPPLIERS_FULL_DATA")</f>
        <v/>
      </c>
      <c r="SA5">
        <f>BDS("AMMD US Equity","SUPPLY_CHAIN_CUSTOMERS_FULL_DATA")</f>
        <v/>
      </c>
      <c r="SQ5">
        <f>BDS("2674129Q US Equity","SUPPLY_CHAIN_SUPPLIERS_FULL_DATA")</f>
        <v/>
      </c>
      <c r="TE5">
        <f>BDS("2674129Q US Equity","SUPPLY_CHAIN_CUSTOMERS_FULL_DATA")</f>
        <v/>
      </c>
      <c r="TU5">
        <f>BDS("BRCD US Equity","SUPPLY_CHAIN_SUPPLIERS_FULL_DATA")</f>
        <v/>
      </c>
      <c r="UI5">
        <f>BDS("BRCD US Equity","SUPPLY_CHAIN_CUSTOMERS_FULL_DATA")</f>
        <v/>
      </c>
      <c r="UY5">
        <f>BDS("PNC US Equity","SUPPLY_CHAIN_SUPPLIERS_FULL_DATA")</f>
        <v/>
      </c>
      <c r="VM5">
        <f>BDS("PNC US Equity","SUPPLY_CHAIN_CUSTOMERS_FULL_DATA")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1661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1662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1663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1664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1665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1666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1667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1668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1669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1670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1671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1672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1673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1674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1675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1676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1677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1678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1679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1680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MMM US Equity</t>
        </is>
      </c>
      <c r="AE2" s="3" t="inlineStr">
        <is>
          <t>BWA US Equity</t>
        </is>
      </c>
      <c r="BI2" s="3" t="inlineStr">
        <is>
          <t>CZR US Equity</t>
        </is>
      </c>
      <c r="CM2" s="3" t="inlineStr">
        <is>
          <t>JNPR US Equity</t>
        </is>
      </c>
      <c r="DQ2" s="3" t="inlineStr">
        <is>
          <t>CAM US Equity</t>
        </is>
      </c>
      <c r="EU2" s="3" t="inlineStr">
        <is>
          <t>841273Q US Equity</t>
        </is>
      </c>
      <c r="FY2" s="3" t="inlineStr">
        <is>
          <t>LYV US Equity</t>
        </is>
      </c>
      <c r="HC2" s="3" t="inlineStr">
        <is>
          <t>WFM US Equity</t>
        </is>
      </c>
      <c r="IG2" s="3" t="inlineStr">
        <is>
          <t>1013207D US Equity</t>
        </is>
      </c>
      <c r="JK2" s="3" t="inlineStr">
        <is>
          <t>ACCO US Equity</t>
        </is>
      </c>
      <c r="KO2" s="3" t="inlineStr">
        <is>
          <t>WY US Equity</t>
        </is>
      </c>
      <c r="LS2" s="3" t="inlineStr">
        <is>
          <t>GVNTQ US Equity</t>
        </is>
      </c>
      <c r="MW2" s="3" t="inlineStr">
        <is>
          <t>MMM US Equity</t>
        </is>
      </c>
      <c r="OA2" s="3" t="inlineStr">
        <is>
          <t>XEL US Equity</t>
        </is>
      </c>
      <c r="PE2" s="3" t="inlineStr">
        <is>
          <t>PNC US Equity</t>
        </is>
      </c>
      <c r="QI2" s="3" t="inlineStr">
        <is>
          <t>ISCA US Equity</t>
        </is>
      </c>
      <c r="RM2" s="3" t="inlineStr">
        <is>
          <t>SSP US Equity</t>
        </is>
      </c>
      <c r="SQ2" s="3" t="inlineStr">
        <is>
          <t>1676829D US Equity</t>
        </is>
      </c>
      <c r="TU2" s="3" t="inlineStr">
        <is>
          <t>SSB US Equity</t>
        </is>
      </c>
      <c r="UY2" s="3" t="inlineStr">
        <is>
          <t>4621824Q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BDS("MMM US Equity","SUPPLY_CHAIN_SUPPLIERS_FULL_DATA")</f>
        <v/>
      </c>
      <c r="O5">
        <f>BDS("MMM US Equity","SUPPLY_CHAIN_CUSTOMERS_FULL_DATA")</f>
        <v/>
      </c>
      <c r="AE5">
        <f>BDS("BWA US Equity","SUPPLY_CHAIN_SUPPLIERS_FULL_DATA")</f>
        <v/>
      </c>
      <c r="AS5">
        <f>BDS("BWA US Equity","SUPPLY_CHAIN_CUSTOMERS_FULL_DATA")</f>
        <v/>
      </c>
      <c r="BI5">
        <f>BDS("CZR US Equity","SUPPLY_CHAIN_SUPPLIERS_FULL_DATA")</f>
        <v/>
      </c>
      <c r="BW5">
        <f>BDS("CZR US Equity","SUPPLY_CHAIN_CUSTOMERS_FULL_DATA")</f>
        <v/>
      </c>
      <c r="CM5">
        <f>BDS("JNPR US Equity","SUPPLY_CHAIN_SUPPLIERS_FULL_DATA")</f>
        <v/>
      </c>
      <c r="DA5">
        <f>BDS("JNPR US Equity","SUPPLY_CHAIN_CUSTOMERS_FULL_DATA")</f>
        <v/>
      </c>
      <c r="DQ5">
        <f>BDS("CAM US Equity","SUPPLY_CHAIN_SUPPLIERS_FULL_DATA")</f>
        <v/>
      </c>
      <c r="EE5">
        <f>BDS("CAM US Equity","SUPPLY_CHAIN_CUSTOMERS_FULL_DATA")</f>
        <v/>
      </c>
      <c r="EU5">
        <f>BDS("841273Q US Equity","SUPPLY_CHAIN_SUPPLIERS_FULL_DATA")</f>
        <v/>
      </c>
      <c r="FI5">
        <f>BDS("841273Q US Equity","SUPPLY_CHAIN_CUSTOMERS_FULL_DATA")</f>
        <v/>
      </c>
      <c r="FY5">
        <f>BDS("LYV US Equity","SUPPLY_CHAIN_SUPPLIERS_FULL_DATA")</f>
        <v/>
      </c>
      <c r="GM5">
        <f>BDS("LYV US Equity","SUPPLY_CHAIN_CUSTOMERS_FULL_DATA")</f>
        <v/>
      </c>
      <c r="HC5">
        <f>BDS("WFM US Equity","SUPPLY_CHAIN_SUPPLIERS_FULL_DATA")</f>
        <v/>
      </c>
      <c r="HQ5">
        <f>BDS("WFM US Equity","SUPPLY_CHAIN_CUSTOMERS_FULL_DATA")</f>
        <v/>
      </c>
      <c r="IG5">
        <f>BDS("1013207D US Equity","SUPPLY_CHAIN_SUPPLIERS_FULL_DATA")</f>
        <v/>
      </c>
      <c r="IU5">
        <f>BDS("1013207D US Equity","SUPPLY_CHAIN_CUSTOMERS_FULL_DATA")</f>
        <v/>
      </c>
      <c r="JK5">
        <f>BDS("ACCO US Equity","SUPPLY_CHAIN_SUPPLIERS_FULL_DATA")</f>
        <v/>
      </c>
      <c r="JY5">
        <f>BDS("ACCO US Equity","SUPPLY_CHAIN_CUSTOMERS_FULL_DATA")</f>
        <v/>
      </c>
      <c r="KO5">
        <f>BDS("WY US Equity","SUPPLY_CHAIN_SUPPLIERS_FULL_DATA")</f>
        <v/>
      </c>
      <c r="LC5">
        <f>BDS("WY US Equity","SUPPLY_CHAIN_CUSTOMERS_FULL_DATA")</f>
        <v/>
      </c>
      <c r="LS5">
        <f>BDS("GVNTQ US Equity","SUPPLY_CHAIN_SUPPLIERS_FULL_DATA")</f>
        <v/>
      </c>
      <c r="MG5">
        <f>BDS("GVNTQ US Equity","SUPPLY_CHAIN_CUSTOMERS_FULL_DATA")</f>
        <v/>
      </c>
      <c r="MW5">
        <f>BDS("MMM US Equity","SUPPLY_CHAIN_SUPPLIERS_FULL_DATA")</f>
        <v/>
      </c>
      <c r="NK5">
        <f>BDS("MMM US Equity","SUPPLY_CHAIN_CUSTOMERS_FULL_DATA")</f>
        <v/>
      </c>
      <c r="OA5">
        <f>BDS("XEL US Equity","SUPPLY_CHAIN_SUPPLIERS_FULL_DATA")</f>
        <v/>
      </c>
      <c r="OO5">
        <f>BDS("XEL US Equity","SUPPLY_CHAIN_CUSTOMERS_FULL_DATA")</f>
        <v/>
      </c>
      <c r="PE5">
        <f>BDS("PNC US Equity","SUPPLY_CHAIN_SUPPLIERS_FULL_DATA")</f>
        <v/>
      </c>
      <c r="PS5">
        <f>BDS("PNC US Equity","SUPPLY_CHAIN_CUSTOMERS_FULL_DATA")</f>
        <v/>
      </c>
      <c r="QI5">
        <f>BDS("ISCA US Equity","SUPPLY_CHAIN_SUPPLIERS_FULL_DATA")</f>
        <v/>
      </c>
      <c r="QW5">
        <f>BDS("ISCA US Equity","SUPPLY_CHAIN_CUSTOMERS_FULL_DATA")</f>
        <v/>
      </c>
      <c r="RM5">
        <f>BDS("SSP US Equity","SUPPLY_CHAIN_SUPPLIERS_FULL_DATA")</f>
        <v/>
      </c>
      <c r="SA5">
        <f>BDS("SSP US Equity","SUPPLY_CHAIN_CUSTOMERS_FULL_DATA")</f>
        <v/>
      </c>
      <c r="SQ5">
        <f>BDS("1676829D US Equity","SUPPLY_CHAIN_SUPPLIERS_FULL_DATA")</f>
        <v/>
      </c>
      <c r="TE5">
        <f>BDS("1676829D US Equity","SUPPLY_CHAIN_CUSTOMERS_FULL_DATA")</f>
        <v/>
      </c>
      <c r="TU5">
        <f>BDS("SSB US Equity","SUPPLY_CHAIN_SUPPLIERS_FULL_DATA")</f>
        <v/>
      </c>
      <c r="UI5">
        <f>BDS("SSB US Equity","SUPPLY_CHAIN_CUSTOMERS_FULL_DATA")</f>
        <v/>
      </c>
      <c r="UY5">
        <f>BDS("4621824Q US Equity","SUPPLY_CHAIN_SUPPLIERS_FULL_DATA")</f>
        <v/>
      </c>
      <c r="VM5">
        <f>BDS("4621824Q US Equity","SUPPLY_CHAIN_CUSTOMERS_FULL_DATA")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1681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1682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1683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1684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1685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1686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1687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1688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1689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1690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1691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1692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1693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1694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1695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1696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1697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1698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1699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1700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0554877D US Equity</t>
        </is>
      </c>
      <c r="AE2" s="3" t="inlineStr">
        <is>
          <t>TFCFA US Equity</t>
        </is>
      </c>
      <c r="BI2" s="3" t="inlineStr">
        <is>
          <t>COLB US Equity</t>
        </is>
      </c>
      <c r="CM2" s="3" t="inlineStr">
        <is>
          <t>ORCL US Equity</t>
        </is>
      </c>
      <c r="DQ2" s="3" t="inlineStr">
        <is>
          <t>JPM US Equity</t>
        </is>
      </c>
      <c r="EU2" s="3" t="inlineStr">
        <is>
          <t>WHXCQ US Equity</t>
        </is>
      </c>
      <c r="FY2" s="3" t="inlineStr">
        <is>
          <t>HOT US Equity</t>
        </is>
      </c>
      <c r="HC2" s="3" t="inlineStr">
        <is>
          <t>CMOS US Equity</t>
        </is>
      </c>
      <c r="IG2" s="3" t="inlineStr">
        <is>
          <t>CZR US Equity</t>
        </is>
      </c>
      <c r="JK2" s="3" t="inlineStr">
        <is>
          <t>PAS US Equity</t>
        </is>
      </c>
      <c r="KO2" s="3" t="inlineStr">
        <is>
          <t>MTCH US Equity</t>
        </is>
      </c>
      <c r="LS2" s="3" t="inlineStr">
        <is>
          <t>PXD US Equity</t>
        </is>
      </c>
      <c r="MW2" s="3" t="inlineStr">
        <is>
          <t>9980328D US Equity</t>
        </is>
      </c>
      <c r="OA2" s="3" t="inlineStr">
        <is>
          <t>PPBI US Equity</t>
        </is>
      </c>
      <c r="PE2" s="3" t="inlineStr">
        <is>
          <t>ALXN US Equity</t>
        </is>
      </c>
      <c r="QI2" s="3" t="inlineStr">
        <is>
          <t>9876456D US Equity</t>
        </is>
      </c>
      <c r="RM2" s="3" t="inlineStr">
        <is>
          <t>PFS US Equity</t>
        </is>
      </c>
      <c r="SQ2" s="3" t="inlineStr">
        <is>
          <t>CDVIQ US Equity</t>
        </is>
      </c>
      <c r="TU2" s="3" t="inlineStr">
        <is>
          <t>CBB US Equity</t>
        </is>
      </c>
      <c r="UY2" s="3" t="inlineStr">
        <is>
          <t>HEW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BDS("0554877D US Equity","SUPPLY_CHAIN_SUPPLIERS_FULL_DATA")</f>
        <v/>
      </c>
      <c r="O5">
        <f>BDS("0554877D US Equity","SUPPLY_CHAIN_CUSTOMERS_FULL_DATA")</f>
        <v/>
      </c>
      <c r="AE5">
        <f>BDS("TFCFA US Equity","SUPPLY_CHAIN_SUPPLIERS_FULL_DATA")</f>
        <v/>
      </c>
      <c r="AS5">
        <f>BDS("TFCFA US Equity","SUPPLY_CHAIN_CUSTOMERS_FULL_DATA")</f>
        <v/>
      </c>
      <c r="BI5">
        <f>BDS("COLB US Equity","SUPPLY_CHAIN_SUPPLIERS_FULL_DATA")</f>
        <v/>
      </c>
      <c r="BW5">
        <f>BDS("COLB US Equity","SUPPLY_CHAIN_CUSTOMERS_FULL_DATA")</f>
        <v/>
      </c>
      <c r="CM5">
        <f>BDS("ORCL US Equity","SUPPLY_CHAIN_SUPPLIERS_FULL_DATA")</f>
        <v/>
      </c>
      <c r="DA5">
        <f>BDS("ORCL US Equity","SUPPLY_CHAIN_CUSTOMERS_FULL_DATA")</f>
        <v/>
      </c>
      <c r="DQ5">
        <f>BDS("JPM US Equity","SUPPLY_CHAIN_SUPPLIERS_FULL_DATA")</f>
        <v/>
      </c>
      <c r="EE5">
        <f>BDS("JPM US Equity","SUPPLY_CHAIN_CUSTOMERS_FULL_DATA")</f>
        <v/>
      </c>
      <c r="EU5">
        <f>BDS("WHXCQ US Equity","SUPPLY_CHAIN_SUPPLIERS_FULL_DATA")</f>
        <v/>
      </c>
      <c r="FI5">
        <f>BDS("WHXCQ US Equity","SUPPLY_CHAIN_CUSTOMERS_FULL_DATA")</f>
        <v/>
      </c>
      <c r="FY5">
        <f>BDS("HOT US Equity","SUPPLY_CHAIN_SUPPLIERS_FULL_DATA")</f>
        <v/>
      </c>
      <c r="GM5">
        <f>BDS("HOT US Equity","SUPPLY_CHAIN_CUSTOMERS_FULL_DATA")</f>
        <v/>
      </c>
      <c r="HC5">
        <f>BDS("CMOS US Equity","SUPPLY_CHAIN_SUPPLIERS_FULL_DATA")</f>
        <v/>
      </c>
      <c r="HQ5">
        <f>BDS("CMOS US Equity","SUPPLY_CHAIN_CUSTOMERS_FULL_DATA")</f>
        <v/>
      </c>
      <c r="IG5">
        <f>BDS("CZR US Equity","SUPPLY_CHAIN_SUPPLIERS_FULL_DATA")</f>
        <v/>
      </c>
      <c r="IU5">
        <f>BDS("CZR US Equity","SUPPLY_CHAIN_CUSTOMERS_FULL_DATA")</f>
        <v/>
      </c>
      <c r="JK5">
        <f>BDS("PAS US Equity","SUPPLY_CHAIN_SUPPLIERS_FULL_DATA")</f>
        <v/>
      </c>
      <c r="JY5">
        <f>BDS("PAS US Equity","SUPPLY_CHAIN_CUSTOMERS_FULL_DATA")</f>
        <v/>
      </c>
      <c r="KO5">
        <f>BDS("MTCH US Equity","SUPPLY_CHAIN_SUPPLIERS_FULL_DATA")</f>
        <v/>
      </c>
      <c r="LC5">
        <f>BDS("MTCH US Equity","SUPPLY_CHAIN_CUSTOMERS_FULL_DATA")</f>
        <v/>
      </c>
      <c r="LS5">
        <f>BDS("PXD US Equity","SUPPLY_CHAIN_SUPPLIERS_FULL_DATA")</f>
        <v/>
      </c>
      <c r="MG5">
        <f>BDS("PXD US Equity","SUPPLY_CHAIN_CUSTOMERS_FULL_DATA")</f>
        <v/>
      </c>
      <c r="MW5">
        <f>BDS("9980328D US Equity","SUPPLY_CHAIN_SUPPLIERS_FULL_DATA")</f>
        <v/>
      </c>
      <c r="NK5">
        <f>BDS("9980328D US Equity","SUPPLY_CHAIN_CUSTOMERS_FULL_DATA")</f>
        <v/>
      </c>
      <c r="OA5">
        <f>BDS("PPBI US Equity","SUPPLY_CHAIN_SUPPLIERS_FULL_DATA")</f>
        <v/>
      </c>
      <c r="OO5">
        <f>BDS("PPBI US Equity","SUPPLY_CHAIN_CUSTOMERS_FULL_DATA")</f>
        <v/>
      </c>
      <c r="PE5">
        <f>BDS("ALXN US Equity","SUPPLY_CHAIN_SUPPLIERS_FULL_DATA")</f>
        <v/>
      </c>
      <c r="PS5">
        <f>BDS("ALXN US Equity","SUPPLY_CHAIN_CUSTOMERS_FULL_DATA")</f>
        <v/>
      </c>
      <c r="QI5">
        <f>BDS("9876456D US Equity","SUPPLY_CHAIN_SUPPLIERS_FULL_DATA")</f>
        <v/>
      </c>
      <c r="QW5">
        <f>BDS("9876456D US Equity","SUPPLY_CHAIN_CUSTOMERS_FULL_DATA")</f>
        <v/>
      </c>
      <c r="RM5">
        <f>BDS("PFS US Equity","SUPPLY_CHAIN_SUPPLIERS_FULL_DATA")</f>
        <v/>
      </c>
      <c r="SA5">
        <f>BDS("PFS US Equity","SUPPLY_CHAIN_CUSTOMERS_FULL_DATA")</f>
        <v/>
      </c>
      <c r="SQ5">
        <f>BDS("CDVIQ US Equity","SUPPLY_CHAIN_SUPPLIERS_FULL_DATA")</f>
        <v/>
      </c>
      <c r="TE5">
        <f>BDS("CDVIQ US Equity","SUPPLY_CHAIN_CUSTOMERS_FULL_DATA")</f>
        <v/>
      </c>
      <c r="TU5">
        <f>BDS("CBB US Equity","SUPPLY_CHAIN_SUPPLIERS_FULL_DATA")</f>
        <v/>
      </c>
      <c r="UI5">
        <f>BDS("CBB US Equity","SUPPLY_CHAIN_CUSTOMERS_FULL_DATA")</f>
        <v/>
      </c>
      <c r="UY5">
        <f>BDS("HEW US Equity","SUPPLY_CHAIN_SUPPLIERS_FULL_DATA")</f>
        <v/>
      </c>
      <c r="VM5">
        <f>BDS("HEW US Equity","SUPPLY_CHAIN_CUSTOMERS_FULL_DATA")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1701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1702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1703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1704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1705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1706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1707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1708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1709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1710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1711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1712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1713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1714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1715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1716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1717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1718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1719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1720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VSH US Equity</t>
        </is>
      </c>
      <c r="AE2" s="3" t="inlineStr">
        <is>
          <t>EVVV US Equity</t>
        </is>
      </c>
      <c r="BI2" s="3" t="inlineStr">
        <is>
          <t>A US Equity</t>
        </is>
      </c>
      <c r="CM2" s="3" t="inlineStr">
        <is>
          <t>VTR US Equity</t>
        </is>
      </c>
      <c r="DQ2" s="3" t="inlineStr">
        <is>
          <t>PSIXQ US Equity</t>
        </is>
      </c>
      <c r="EU2" s="3" t="inlineStr">
        <is>
          <t>VALPQ US Equity</t>
        </is>
      </c>
      <c r="FY2" s="3" t="inlineStr">
        <is>
          <t>ARCC US Equity</t>
        </is>
      </c>
      <c r="HC2" s="3" t="inlineStr">
        <is>
          <t>CSCO US Equity</t>
        </is>
      </c>
      <c r="IG2" s="3" t="inlineStr">
        <is>
          <t>BBBYQ US Equity</t>
        </is>
      </c>
      <c r="JK2" s="3" t="inlineStr">
        <is>
          <t>WFC US Equity</t>
        </is>
      </c>
      <c r="KO2" s="3" t="inlineStr">
        <is>
          <t>1683351D US Equity</t>
        </is>
      </c>
      <c r="LS2" s="3" t="inlineStr">
        <is>
          <t>nan Equity</t>
        </is>
      </c>
      <c r="MW2" s="3" t="inlineStr">
        <is>
          <t>AUB US Equity</t>
        </is>
      </c>
      <c r="OA2" s="3" t="inlineStr">
        <is>
          <t>ONTO US Equity</t>
        </is>
      </c>
      <c r="PE2" s="3" t="inlineStr">
        <is>
          <t>DM US Equity</t>
        </is>
      </c>
      <c r="QI2" s="3" t="inlineStr">
        <is>
          <t>SBUX US Equity</t>
        </is>
      </c>
      <c r="RM2" s="3" t="inlineStr">
        <is>
          <t>DHR US Equity</t>
        </is>
      </c>
      <c r="SQ2" s="3" t="inlineStr">
        <is>
          <t>BPYU US Equity</t>
        </is>
      </c>
      <c r="TU2" s="3" t="inlineStr">
        <is>
          <t>T US Equity</t>
        </is>
      </c>
      <c r="UY2" s="3" t="inlineStr">
        <is>
          <t>nan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BDS("VSH US Equity","SUPPLY_CHAIN_SUPPLIERS_FULL_DATA")</f>
        <v/>
      </c>
      <c r="O5">
        <f>BDS("VSH US Equity","SUPPLY_CHAIN_CUSTOMERS_FULL_DATA")</f>
        <v/>
      </c>
      <c r="AE5">
        <f>BDS("EVVV US Equity","SUPPLY_CHAIN_SUPPLIERS_FULL_DATA")</f>
        <v/>
      </c>
      <c r="AS5">
        <f>BDS("EVVV US Equity","SUPPLY_CHAIN_CUSTOMERS_FULL_DATA")</f>
        <v/>
      </c>
      <c r="BI5">
        <f>BDS("A US Equity","SUPPLY_CHAIN_SUPPLIERS_FULL_DATA")</f>
        <v/>
      </c>
      <c r="BW5">
        <f>BDS("A US Equity","SUPPLY_CHAIN_CUSTOMERS_FULL_DATA")</f>
        <v/>
      </c>
      <c r="CM5">
        <f>BDS("VTR US Equity","SUPPLY_CHAIN_SUPPLIERS_FULL_DATA")</f>
        <v/>
      </c>
      <c r="DA5">
        <f>BDS("VTR US Equity","SUPPLY_CHAIN_CUSTOMERS_FULL_DATA")</f>
        <v/>
      </c>
      <c r="DQ5">
        <f>BDS("PSIXQ US Equity","SUPPLY_CHAIN_SUPPLIERS_FULL_DATA")</f>
        <v/>
      </c>
      <c r="EE5">
        <f>BDS("PSIXQ US Equity","SUPPLY_CHAIN_CUSTOMERS_FULL_DATA")</f>
        <v/>
      </c>
      <c r="EU5">
        <f>BDS("VALPQ US Equity","SUPPLY_CHAIN_SUPPLIERS_FULL_DATA")</f>
        <v/>
      </c>
      <c r="FI5">
        <f>BDS("VALPQ US Equity","SUPPLY_CHAIN_CUSTOMERS_FULL_DATA")</f>
        <v/>
      </c>
      <c r="FY5">
        <f>BDS("ARCC US Equity","SUPPLY_CHAIN_SUPPLIERS_FULL_DATA")</f>
        <v/>
      </c>
      <c r="GM5">
        <f>BDS("ARCC US Equity","SUPPLY_CHAIN_CUSTOMERS_FULL_DATA")</f>
        <v/>
      </c>
      <c r="HC5">
        <f>BDS("CSCO US Equity","SUPPLY_CHAIN_SUPPLIERS_FULL_DATA")</f>
        <v/>
      </c>
      <c r="HQ5">
        <f>BDS("CSCO US Equity","SUPPLY_CHAIN_CUSTOMERS_FULL_DATA")</f>
        <v/>
      </c>
      <c r="IG5">
        <f>BDS("BBBYQ US Equity","SUPPLY_CHAIN_SUPPLIERS_FULL_DATA")</f>
        <v/>
      </c>
      <c r="IU5">
        <f>BDS("BBBYQ US Equity","SUPPLY_CHAIN_CUSTOMERS_FULL_DATA")</f>
        <v/>
      </c>
      <c r="JK5">
        <f>BDS("WFC US Equity","SUPPLY_CHAIN_SUPPLIERS_FULL_DATA")</f>
        <v/>
      </c>
      <c r="JY5">
        <f>BDS("WFC US Equity","SUPPLY_CHAIN_CUSTOMERS_FULL_DATA")</f>
        <v/>
      </c>
      <c r="KO5">
        <f>BDS("1683351D US Equity","SUPPLY_CHAIN_SUPPLIERS_FULL_DATA")</f>
        <v/>
      </c>
      <c r="LC5">
        <f>BDS("1683351D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BDS("AUB US Equity","SUPPLY_CHAIN_SUPPLIERS_FULL_DATA")</f>
        <v/>
      </c>
      <c r="NK5">
        <f>BDS("AUB US Equity","SUPPLY_CHAIN_CUSTOMERS_FULL_DATA")</f>
        <v/>
      </c>
      <c r="OA5">
        <f>BDS("ONTO US Equity","SUPPLY_CHAIN_SUPPLIERS_FULL_DATA")</f>
        <v/>
      </c>
      <c r="OO5">
        <f>BDS("ONTO US Equity","SUPPLY_CHAIN_CUSTOMERS_FULL_DATA")</f>
        <v/>
      </c>
      <c r="PE5">
        <f>BDS("DM US Equity","SUPPLY_CHAIN_SUPPLIERS_FULL_DATA")</f>
        <v/>
      </c>
      <c r="PS5">
        <f>BDS("DM US Equity","SUPPLY_CHAIN_CUSTOMERS_FULL_DATA")</f>
        <v/>
      </c>
      <c r="QI5">
        <f>BDS("SBUX US Equity","SUPPLY_CHAIN_SUPPLIERS_FULL_DATA")</f>
        <v/>
      </c>
      <c r="QW5">
        <f>BDS("SBUX US Equity","SUPPLY_CHAIN_CUSTOMERS_FULL_DATA")</f>
        <v/>
      </c>
      <c r="RM5">
        <f>BDS("DHR US Equity","SUPPLY_CHAIN_SUPPLIERS_FULL_DATA")</f>
        <v/>
      </c>
      <c r="SA5">
        <f>BDS("DHR US Equity","SUPPLY_CHAIN_CUSTOMERS_FULL_DATA")</f>
        <v/>
      </c>
      <c r="SQ5">
        <f>BDS("BPYU US Equity","SUPPLY_CHAIN_SUPPLIERS_FULL_DATA")</f>
        <v/>
      </c>
      <c r="TE5">
        <f>BDS("BPYU US Equity","SUPPLY_CHAIN_CUSTOMERS_FULL_DATA")</f>
        <v/>
      </c>
      <c r="TU5">
        <f>BDS("T US Equity","SUPPLY_CHAIN_SUPPLIERS_FULL_DATA")</f>
        <v/>
      </c>
      <c r="UI5">
        <f>BDS("T US Equity","SUPPLY_CHAIN_CUSTOMERS_FULL_DATA")</f>
        <v/>
      </c>
      <c r="UY5">
        <f>BDS("nan Equity","SUPPLY_CHAIN_SUPPLIERS_FULL_DATA")</f>
        <v/>
      </c>
      <c r="VM5">
        <f>BDS("nan Equity","SUPPLY_CHAIN_CUSTOMERS_FULL_DATA")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1721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1722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1723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1724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1725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1726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1727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1728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1729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1730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1731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1732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1733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1734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1735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1736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1737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1738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1739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1740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TFC US Equity</t>
        </is>
      </c>
      <c r="AE2" s="3" t="inlineStr">
        <is>
          <t>78651Q US Equity</t>
        </is>
      </c>
      <c r="BI2" s="3" t="inlineStr">
        <is>
          <t>MBFI US Equity</t>
        </is>
      </c>
      <c r="CM2" s="3" t="inlineStr">
        <is>
          <t>AGN US Equity</t>
        </is>
      </c>
      <c r="DQ2" s="3" t="inlineStr">
        <is>
          <t>KIM US Equity</t>
        </is>
      </c>
      <c r="EU2" s="3" t="inlineStr">
        <is>
          <t>ONEX CN Equity</t>
        </is>
      </c>
      <c r="FY2" s="3" t="inlineStr">
        <is>
          <t>IBM US Equity</t>
        </is>
      </c>
      <c r="HC2" s="3" t="inlineStr">
        <is>
          <t>NOV US Equity</t>
        </is>
      </c>
      <c r="IG2" s="3" t="inlineStr">
        <is>
          <t>TFC US Equity</t>
        </is>
      </c>
      <c r="JK2" s="3" t="inlineStr">
        <is>
          <t>FCNCA US Equity</t>
        </is>
      </c>
      <c r="KO2" s="3" t="inlineStr">
        <is>
          <t>1981718D US Equity</t>
        </is>
      </c>
      <c r="LS2" s="3" t="inlineStr">
        <is>
          <t>NUE US Equity</t>
        </is>
      </c>
      <c r="MW2" s="3" t="inlineStr">
        <is>
          <t>BRK/A US Equity</t>
        </is>
      </c>
      <c r="OA2" s="3" t="inlineStr">
        <is>
          <t>IVZ US Equity</t>
        </is>
      </c>
      <c r="PE2" s="3" t="inlineStr">
        <is>
          <t>HYMC US Equity</t>
        </is>
      </c>
      <c r="QI2" s="3" t="inlineStr">
        <is>
          <t>PYXSQ US Equity</t>
        </is>
      </c>
      <c r="RM2" s="3" t="inlineStr">
        <is>
          <t>ROVI US Equity</t>
        </is>
      </c>
      <c r="SQ2" s="3" t="inlineStr">
        <is>
          <t>SOGCQ US Equity</t>
        </is>
      </c>
      <c r="TU2" s="3" t="inlineStr">
        <is>
          <t>BZH US Equity</t>
        </is>
      </c>
      <c r="UY2" s="3" t="inlineStr">
        <is>
          <t>GD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BDS("TFC US Equity","SUPPLY_CHAIN_SUPPLIERS_FULL_DATA")</f>
        <v/>
      </c>
      <c r="O5">
        <f>BDS("TFC US Equity","SUPPLY_CHAIN_CUSTOMERS_FULL_DATA")</f>
        <v/>
      </c>
      <c r="AE5">
        <f>BDS("78651Q US Equity","SUPPLY_CHAIN_SUPPLIERS_FULL_DATA")</f>
        <v/>
      </c>
      <c r="AS5">
        <f>BDS("78651Q US Equity","SUPPLY_CHAIN_CUSTOMERS_FULL_DATA")</f>
        <v/>
      </c>
      <c r="BI5">
        <f>BDS("MBFI US Equity","SUPPLY_CHAIN_SUPPLIERS_FULL_DATA")</f>
        <v/>
      </c>
      <c r="BW5">
        <f>BDS("MBFI US Equity","SUPPLY_CHAIN_CUSTOMERS_FULL_DATA")</f>
        <v/>
      </c>
      <c r="CM5">
        <f>BDS("AGN US Equity","SUPPLY_CHAIN_SUPPLIERS_FULL_DATA")</f>
        <v/>
      </c>
      <c r="DA5">
        <f>BDS("AGN US Equity","SUPPLY_CHAIN_CUSTOMERS_FULL_DATA")</f>
        <v/>
      </c>
      <c r="DQ5">
        <f>BDS("KIM US Equity","SUPPLY_CHAIN_SUPPLIERS_FULL_DATA")</f>
        <v/>
      </c>
      <c r="EE5">
        <f>BDS("KIM US Equity","SUPPLY_CHAIN_CUSTOMERS_FULL_DATA")</f>
        <v/>
      </c>
      <c r="EU5">
        <f>BDS("ONEX CN Equity","SUPPLY_CHAIN_SUPPLIERS_FULL_DATA")</f>
        <v/>
      </c>
      <c r="FI5">
        <f>BDS("ONEX CN Equity","SUPPLY_CHAIN_CUSTOMERS_FULL_DATA")</f>
        <v/>
      </c>
      <c r="FY5">
        <f>BDS("IBM US Equity","SUPPLY_CHAIN_SUPPLIERS_FULL_DATA")</f>
        <v/>
      </c>
      <c r="GM5">
        <f>BDS("IBM US Equity","SUPPLY_CHAIN_CUSTOMERS_FULL_DATA")</f>
        <v/>
      </c>
      <c r="HC5">
        <f>BDS("NOV US Equity","SUPPLY_CHAIN_SUPPLIERS_FULL_DATA")</f>
        <v/>
      </c>
      <c r="HQ5">
        <f>BDS("NOV US Equity","SUPPLY_CHAIN_CUSTOMERS_FULL_DATA")</f>
        <v/>
      </c>
      <c r="IG5">
        <f>BDS("TFC US Equity","SUPPLY_CHAIN_SUPPLIERS_FULL_DATA")</f>
        <v/>
      </c>
      <c r="IU5">
        <f>BDS("TFC US Equity","SUPPLY_CHAIN_CUSTOMERS_FULL_DATA")</f>
        <v/>
      </c>
      <c r="JK5">
        <f>BDS("FCNCA US Equity","SUPPLY_CHAIN_SUPPLIERS_FULL_DATA")</f>
        <v/>
      </c>
      <c r="JY5">
        <f>BDS("FCNCA US Equity","SUPPLY_CHAIN_CUSTOMERS_FULL_DATA")</f>
        <v/>
      </c>
      <c r="KO5">
        <f>BDS("1981718D US Equity","SUPPLY_CHAIN_SUPPLIERS_FULL_DATA")</f>
        <v/>
      </c>
      <c r="LC5">
        <f>BDS("1981718D US Equity","SUPPLY_CHAIN_CUSTOMERS_FULL_DATA")</f>
        <v/>
      </c>
      <c r="LS5">
        <f>BDS("NUE US Equity","SUPPLY_CHAIN_SUPPLIERS_FULL_DATA")</f>
        <v/>
      </c>
      <c r="MG5">
        <f>BDS("NUE US Equity","SUPPLY_CHAIN_CUSTOMERS_FULL_DATA")</f>
        <v/>
      </c>
      <c r="MW5">
        <f>BDS("BRK/A US Equity","SUPPLY_CHAIN_SUPPLIERS_FULL_DATA")</f>
        <v/>
      </c>
      <c r="NK5">
        <f>BDS("BRK/A US Equity","SUPPLY_CHAIN_CUSTOMERS_FULL_DATA")</f>
        <v/>
      </c>
      <c r="OA5">
        <f>BDS("IVZ US Equity","SUPPLY_CHAIN_SUPPLIERS_FULL_DATA")</f>
        <v/>
      </c>
      <c r="OO5">
        <f>BDS("IVZ US Equity","SUPPLY_CHAIN_CUSTOMERS_FULL_DATA")</f>
        <v/>
      </c>
      <c r="PE5">
        <f>BDS("HYMC US Equity","SUPPLY_CHAIN_SUPPLIERS_FULL_DATA")</f>
        <v/>
      </c>
      <c r="PS5">
        <f>BDS("HYMC US Equity","SUPPLY_CHAIN_CUSTOMERS_FULL_DATA")</f>
        <v/>
      </c>
      <c r="QI5">
        <f>BDS("PYXSQ US Equity","SUPPLY_CHAIN_SUPPLIERS_FULL_DATA")</f>
        <v/>
      </c>
      <c r="QW5">
        <f>BDS("PYXSQ US Equity","SUPPLY_CHAIN_CUSTOMERS_FULL_DATA")</f>
        <v/>
      </c>
      <c r="RM5">
        <f>BDS("ROVI US Equity","SUPPLY_CHAIN_SUPPLIERS_FULL_DATA")</f>
        <v/>
      </c>
      <c r="SA5">
        <f>BDS("ROVI US Equity","SUPPLY_CHAIN_CUSTOMERS_FULL_DATA")</f>
        <v/>
      </c>
      <c r="SQ5">
        <f>BDS("SOGCQ US Equity","SUPPLY_CHAIN_SUPPLIERS_FULL_DATA")</f>
        <v/>
      </c>
      <c r="TE5">
        <f>BDS("SOGCQ US Equity","SUPPLY_CHAIN_CUSTOMERS_FULL_DATA")</f>
        <v/>
      </c>
      <c r="TU5">
        <f>BDS("BZH US Equity","SUPPLY_CHAIN_SUPPLIERS_FULL_DATA")</f>
        <v/>
      </c>
      <c r="UI5">
        <f>BDS("BZH US Equity","SUPPLY_CHAIN_CUSTOMERS_FULL_DATA")</f>
        <v/>
      </c>
      <c r="UY5">
        <f>BDS("GD US Equity","SUPPLY_CHAIN_SUPPLIERS_FULL_DATA")</f>
        <v/>
      </c>
      <c r="VM5">
        <f>BDS("GD US Equity","SUPPLY_CHAIN_CUSTOMERS_FULL_DATA")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1741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1742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1743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1744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1745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1746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1747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1748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1749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1750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1751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1752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1753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1754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1755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1756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1757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1758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1759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1760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IRT US Equity</t>
        </is>
      </c>
      <c r="AE2" s="3" t="inlineStr">
        <is>
          <t>ASB US Equity</t>
        </is>
      </c>
      <c r="BI2" s="3" t="inlineStr">
        <is>
          <t>SYK US Equity</t>
        </is>
      </c>
      <c r="CM2" s="3" t="inlineStr">
        <is>
          <t>ARWLQ US Equity</t>
        </is>
      </c>
      <c r="DQ2" s="3" t="inlineStr">
        <is>
          <t>VNRSQ US Equity</t>
        </is>
      </c>
      <c r="EU2" s="3" t="inlineStr">
        <is>
          <t>1811934D US Equity</t>
        </is>
      </c>
      <c r="FY2" s="3" t="inlineStr">
        <is>
          <t>BX US Equity</t>
        </is>
      </c>
      <c r="HC2" s="3" t="inlineStr">
        <is>
          <t>9993232D US Equity</t>
        </is>
      </c>
      <c r="IG2" s="3" t="inlineStr">
        <is>
          <t>ORCL US Equity</t>
        </is>
      </c>
      <c r="JK2" s="3" t="inlineStr">
        <is>
          <t>VTR US Equity</t>
        </is>
      </c>
      <c r="KO2" s="3" t="inlineStr">
        <is>
          <t>PNP US Equity</t>
        </is>
      </c>
      <c r="LS2" s="3" t="inlineStr">
        <is>
          <t>HON US Equity</t>
        </is>
      </c>
      <c r="MW2" s="3" t="inlineStr">
        <is>
          <t>IBM US Equity</t>
        </is>
      </c>
      <c r="OA2" s="3" t="inlineStr">
        <is>
          <t>FBK US Equity</t>
        </is>
      </c>
      <c r="PE2" s="3" t="inlineStr">
        <is>
          <t>URS US Equity</t>
        </is>
      </c>
      <c r="QI2" s="3" t="inlineStr">
        <is>
          <t>NFB US Equity</t>
        </is>
      </c>
      <c r="RM2" s="3" t="inlineStr">
        <is>
          <t>INVCORP BI Equity</t>
        </is>
      </c>
      <c r="SQ2" s="3" t="inlineStr">
        <is>
          <t>URI US Equity</t>
        </is>
      </c>
      <c r="TU2" s="3" t="inlineStr">
        <is>
          <t>BBY US Equity</t>
        </is>
      </c>
      <c r="UY2" s="3" t="inlineStr">
        <is>
          <t>GE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BDS("IRT US Equity","SUPPLY_CHAIN_SUPPLIERS_FULL_DATA")</f>
        <v/>
      </c>
      <c r="O5">
        <f>BDS("IRT US Equity","SUPPLY_CHAIN_CUSTOMERS_FULL_DATA")</f>
        <v/>
      </c>
      <c r="AE5">
        <f>BDS("ASB US Equity","SUPPLY_CHAIN_SUPPLIERS_FULL_DATA")</f>
        <v/>
      </c>
      <c r="AS5">
        <f>BDS("ASB US Equity","SUPPLY_CHAIN_CUSTOMERS_FULL_DATA")</f>
        <v/>
      </c>
      <c r="BI5">
        <f>BDS("SYK US Equity","SUPPLY_CHAIN_SUPPLIERS_FULL_DATA")</f>
        <v/>
      </c>
      <c r="BW5">
        <f>BDS("SYK US Equity","SUPPLY_CHAIN_CUSTOMERS_FULL_DATA")</f>
        <v/>
      </c>
      <c r="CM5">
        <f>BDS("ARWLQ US Equity","SUPPLY_CHAIN_SUPPLIERS_FULL_DATA")</f>
        <v/>
      </c>
      <c r="DA5">
        <f>BDS("ARWLQ US Equity","SUPPLY_CHAIN_CUSTOMERS_FULL_DATA")</f>
        <v/>
      </c>
      <c r="DQ5">
        <f>BDS("VNRSQ US Equity","SUPPLY_CHAIN_SUPPLIERS_FULL_DATA")</f>
        <v/>
      </c>
      <c r="EE5">
        <f>BDS("VNRSQ US Equity","SUPPLY_CHAIN_CUSTOMERS_FULL_DATA")</f>
        <v/>
      </c>
      <c r="EU5">
        <f>BDS("1811934D US Equity","SUPPLY_CHAIN_SUPPLIERS_FULL_DATA")</f>
        <v/>
      </c>
      <c r="FI5">
        <f>BDS("1811934D US Equity","SUPPLY_CHAIN_CUSTOMERS_FULL_DATA")</f>
        <v/>
      </c>
      <c r="FY5">
        <f>BDS("BX US Equity","SUPPLY_CHAIN_SUPPLIERS_FULL_DATA")</f>
        <v/>
      </c>
      <c r="GM5">
        <f>BDS("BX US Equity","SUPPLY_CHAIN_CUSTOMERS_FULL_DATA")</f>
        <v/>
      </c>
      <c r="HC5">
        <f>BDS("9993232D US Equity","SUPPLY_CHAIN_SUPPLIERS_FULL_DATA")</f>
        <v/>
      </c>
      <c r="HQ5">
        <f>BDS("9993232D US Equity","SUPPLY_CHAIN_CUSTOMERS_FULL_DATA")</f>
        <v/>
      </c>
      <c r="IG5">
        <f>BDS("ORCL US Equity","SUPPLY_CHAIN_SUPPLIERS_FULL_DATA")</f>
        <v/>
      </c>
      <c r="IU5">
        <f>BDS("ORCL US Equity","SUPPLY_CHAIN_CUSTOMERS_FULL_DATA")</f>
        <v/>
      </c>
      <c r="JK5">
        <f>BDS("VTR US Equity","SUPPLY_CHAIN_SUPPLIERS_FULL_DATA")</f>
        <v/>
      </c>
      <c r="JY5">
        <f>BDS("VTR US Equity","SUPPLY_CHAIN_CUSTOMERS_FULL_DATA")</f>
        <v/>
      </c>
      <c r="KO5">
        <f>BDS("PNP US Equity","SUPPLY_CHAIN_SUPPLIERS_FULL_DATA")</f>
        <v/>
      </c>
      <c r="LC5">
        <f>BDS("PNP US Equity","SUPPLY_CHAIN_CUSTOMERS_FULL_DATA")</f>
        <v/>
      </c>
      <c r="LS5">
        <f>BDS("HON US Equity","SUPPLY_CHAIN_SUPPLIERS_FULL_DATA")</f>
        <v/>
      </c>
      <c r="MG5">
        <f>BDS("HON US Equity","SUPPLY_CHAIN_CUSTOMERS_FULL_DATA")</f>
        <v/>
      </c>
      <c r="MW5">
        <f>BDS("IBM US Equity","SUPPLY_CHAIN_SUPPLIERS_FULL_DATA")</f>
        <v/>
      </c>
      <c r="NK5">
        <f>BDS("IBM US Equity","SUPPLY_CHAIN_CUSTOMERS_FULL_DATA")</f>
        <v/>
      </c>
      <c r="OA5">
        <f>BDS("FBK US Equity","SUPPLY_CHAIN_SUPPLIERS_FULL_DATA")</f>
        <v/>
      </c>
      <c r="OO5">
        <f>BDS("FBK US Equity","SUPPLY_CHAIN_CUSTOMERS_FULL_DATA")</f>
        <v/>
      </c>
      <c r="PE5">
        <f>BDS("URS US Equity","SUPPLY_CHAIN_SUPPLIERS_FULL_DATA")</f>
        <v/>
      </c>
      <c r="PS5">
        <f>BDS("URS US Equity","SUPPLY_CHAIN_CUSTOMERS_FULL_DATA")</f>
        <v/>
      </c>
      <c r="QI5">
        <f>BDS("NFB US Equity","SUPPLY_CHAIN_SUPPLIERS_FULL_DATA")</f>
        <v/>
      </c>
      <c r="QW5">
        <f>BDS("NFB US Equity","SUPPLY_CHAIN_CUSTOMERS_FULL_DATA")</f>
        <v/>
      </c>
      <c r="RM5">
        <f>BDS("INVCORP BI Equity","SUPPLY_CHAIN_SUPPLIERS_FULL_DATA")</f>
        <v/>
      </c>
      <c r="SA5">
        <f>BDS("INVCORP BI Equity","SUPPLY_CHAIN_CUSTOMERS_FULL_DATA")</f>
        <v/>
      </c>
      <c r="SQ5">
        <f>BDS("URI US Equity","SUPPLY_CHAIN_SUPPLIERS_FULL_DATA")</f>
        <v/>
      </c>
      <c r="TE5">
        <f>BDS("URI US Equity","SUPPLY_CHAIN_CUSTOMERS_FULL_DATA")</f>
        <v/>
      </c>
      <c r="TU5">
        <f>BDS("BBY US Equity","SUPPLY_CHAIN_SUPPLIERS_FULL_DATA")</f>
        <v/>
      </c>
      <c r="UI5">
        <f>BDS("BBY US Equity","SUPPLY_CHAIN_CUSTOMERS_FULL_DATA")</f>
        <v/>
      </c>
      <c r="UY5">
        <f>BDS("GE US Equity","SUPPLY_CHAIN_SUPPLIERS_FULL_DATA")</f>
        <v/>
      </c>
      <c r="VM5">
        <f>BDS("GE US Equity","SUPPLY_CHAIN_CUSTOMERS_FULL_DATA")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1761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1762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1763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1764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1765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1766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1767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1768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1769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1770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1771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1772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1773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1774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1775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1776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1777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1778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1779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1780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WFC US Equity</t>
        </is>
      </c>
      <c r="AE2" s="3" t="inlineStr">
        <is>
          <t>OHI US Equity</t>
        </is>
      </c>
      <c r="BI2" s="3" t="inlineStr">
        <is>
          <t>STCN US Equity</t>
        </is>
      </c>
      <c r="CM2" s="3" t="inlineStr">
        <is>
          <t>FDC US Equity</t>
        </is>
      </c>
      <c r="DQ2" s="3" t="inlineStr">
        <is>
          <t>NES US Equity</t>
        </is>
      </c>
      <c r="EU2" s="3" t="inlineStr">
        <is>
          <t>COHU US Equity</t>
        </is>
      </c>
      <c r="FY2" s="3" t="inlineStr">
        <is>
          <t>DHR US Equity</t>
        </is>
      </c>
      <c r="HC2" s="3" t="inlineStr">
        <is>
          <t>MATW US Equity</t>
        </is>
      </c>
      <c r="IG2" s="3" t="inlineStr">
        <is>
          <t>WINMQ US Equity</t>
        </is>
      </c>
      <c r="JK2" s="3" t="inlineStr">
        <is>
          <t>RAMP US Equity</t>
        </is>
      </c>
      <c r="KO2" s="3" t="inlineStr">
        <is>
          <t>NFX US Equity</t>
        </is>
      </c>
      <c r="LS2" s="3" t="inlineStr">
        <is>
          <t>AROC US Equity</t>
        </is>
      </c>
      <c r="MW2" s="3" t="inlineStr">
        <is>
          <t>AGR US Equity</t>
        </is>
      </c>
      <c r="OA2" s="3" t="inlineStr">
        <is>
          <t>SHEN US Equity</t>
        </is>
      </c>
      <c r="PE2" s="3" t="inlineStr">
        <is>
          <t>NAL US Equity</t>
        </is>
      </c>
      <c r="QI2" s="3" t="inlineStr">
        <is>
          <t>FNFG US Equity</t>
        </is>
      </c>
      <c r="RM2" s="3" t="inlineStr">
        <is>
          <t>PSA US Equity</t>
        </is>
      </c>
      <c r="SQ2" s="3" t="inlineStr">
        <is>
          <t>IPG US Equity</t>
        </is>
      </c>
      <c r="TU2" s="3" t="inlineStr">
        <is>
          <t>710946Q US Equity</t>
        </is>
      </c>
      <c r="UY2" s="3" t="inlineStr">
        <is>
          <t>TFCFA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BDS("WFC US Equity","SUPPLY_CHAIN_SUPPLIERS_FULL_DATA")</f>
        <v/>
      </c>
      <c r="O5">
        <f>BDS("WFC US Equity","SUPPLY_CHAIN_CUSTOMERS_FULL_DATA")</f>
        <v/>
      </c>
      <c r="AE5">
        <f>BDS("OHI US Equity","SUPPLY_CHAIN_SUPPLIERS_FULL_DATA")</f>
        <v/>
      </c>
      <c r="AS5">
        <f>BDS("OHI US Equity","SUPPLY_CHAIN_CUSTOMERS_FULL_DATA")</f>
        <v/>
      </c>
      <c r="BI5">
        <f>BDS("STCN US Equity","SUPPLY_CHAIN_SUPPLIERS_FULL_DATA")</f>
        <v/>
      </c>
      <c r="BW5">
        <f>BDS("STCN US Equity","SUPPLY_CHAIN_CUSTOMERS_FULL_DATA")</f>
        <v/>
      </c>
      <c r="CM5">
        <f>BDS("FDC US Equity","SUPPLY_CHAIN_SUPPLIERS_FULL_DATA")</f>
        <v/>
      </c>
      <c r="DA5">
        <f>BDS("FDC US Equity","SUPPLY_CHAIN_CUSTOMERS_FULL_DATA")</f>
        <v/>
      </c>
      <c r="DQ5">
        <f>BDS("NES US Equity","SUPPLY_CHAIN_SUPPLIERS_FULL_DATA")</f>
        <v/>
      </c>
      <c r="EE5">
        <f>BDS("NES US Equity","SUPPLY_CHAIN_CUSTOMERS_FULL_DATA")</f>
        <v/>
      </c>
      <c r="EU5">
        <f>BDS("COHU US Equity","SUPPLY_CHAIN_SUPPLIERS_FULL_DATA")</f>
        <v/>
      </c>
      <c r="FI5">
        <f>BDS("COHU US Equity","SUPPLY_CHAIN_CUSTOMERS_FULL_DATA")</f>
        <v/>
      </c>
      <c r="FY5">
        <f>BDS("DHR US Equity","SUPPLY_CHAIN_SUPPLIERS_FULL_DATA")</f>
        <v/>
      </c>
      <c r="GM5">
        <f>BDS("DHR US Equity","SUPPLY_CHAIN_CUSTOMERS_FULL_DATA")</f>
        <v/>
      </c>
      <c r="HC5">
        <f>BDS("MATW US Equity","SUPPLY_CHAIN_SUPPLIERS_FULL_DATA")</f>
        <v/>
      </c>
      <c r="HQ5">
        <f>BDS("MATW US Equity","SUPPLY_CHAIN_CUSTOMERS_FULL_DATA")</f>
        <v/>
      </c>
      <c r="IG5">
        <f>BDS("WINMQ US Equity","SUPPLY_CHAIN_SUPPLIERS_FULL_DATA")</f>
        <v/>
      </c>
      <c r="IU5">
        <f>BDS("WINMQ US Equity","SUPPLY_CHAIN_CUSTOMERS_FULL_DATA")</f>
        <v/>
      </c>
      <c r="JK5">
        <f>BDS("RAMP US Equity","SUPPLY_CHAIN_SUPPLIERS_FULL_DATA")</f>
        <v/>
      </c>
      <c r="JY5">
        <f>BDS("RAMP US Equity","SUPPLY_CHAIN_CUSTOMERS_FULL_DATA")</f>
        <v/>
      </c>
      <c r="KO5">
        <f>BDS("NFX US Equity","SUPPLY_CHAIN_SUPPLIERS_FULL_DATA")</f>
        <v/>
      </c>
      <c r="LC5">
        <f>BDS("NFX US Equity","SUPPLY_CHAIN_CUSTOMERS_FULL_DATA")</f>
        <v/>
      </c>
      <c r="LS5">
        <f>BDS("AROC US Equity","SUPPLY_CHAIN_SUPPLIERS_FULL_DATA")</f>
        <v/>
      </c>
      <c r="MG5">
        <f>BDS("AROC US Equity","SUPPLY_CHAIN_CUSTOMERS_FULL_DATA")</f>
        <v/>
      </c>
      <c r="MW5">
        <f>BDS("AGR US Equity","SUPPLY_CHAIN_SUPPLIERS_FULL_DATA")</f>
        <v/>
      </c>
      <c r="NK5">
        <f>BDS("AGR US Equity","SUPPLY_CHAIN_CUSTOMERS_FULL_DATA")</f>
        <v/>
      </c>
      <c r="OA5">
        <f>BDS("SHEN US Equity","SUPPLY_CHAIN_SUPPLIERS_FULL_DATA")</f>
        <v/>
      </c>
      <c r="OO5">
        <f>BDS("SHEN US Equity","SUPPLY_CHAIN_CUSTOMERS_FULL_DATA")</f>
        <v/>
      </c>
      <c r="PE5">
        <f>BDS("NAL US Equity","SUPPLY_CHAIN_SUPPLIERS_FULL_DATA")</f>
        <v/>
      </c>
      <c r="PS5">
        <f>BDS("NAL US Equity","SUPPLY_CHAIN_CUSTOMERS_FULL_DATA")</f>
        <v/>
      </c>
      <c r="QI5">
        <f>BDS("FNFG US Equity","SUPPLY_CHAIN_SUPPLIERS_FULL_DATA")</f>
        <v/>
      </c>
      <c r="QW5">
        <f>BDS("FNFG US Equity","SUPPLY_CHAIN_CUSTOMERS_FULL_DATA")</f>
        <v/>
      </c>
      <c r="RM5">
        <f>BDS("PSA US Equity","SUPPLY_CHAIN_SUPPLIERS_FULL_DATA")</f>
        <v/>
      </c>
      <c r="SA5">
        <f>BDS("PSA US Equity","SUPPLY_CHAIN_CUSTOMERS_FULL_DATA")</f>
        <v/>
      </c>
      <c r="SQ5">
        <f>BDS("IPG US Equity","SUPPLY_CHAIN_SUPPLIERS_FULL_DATA")</f>
        <v/>
      </c>
      <c r="TE5">
        <f>BDS("IPG US Equity","SUPPLY_CHAIN_CUSTOMERS_FULL_DATA")</f>
        <v/>
      </c>
      <c r="TU5">
        <f>BDS("710946Q US Equity","SUPPLY_CHAIN_SUPPLIERS_FULL_DATA")</f>
        <v/>
      </c>
      <c r="UI5">
        <f>BDS("710946Q US Equity","SUPPLY_CHAIN_CUSTOMERS_FULL_DATA")</f>
        <v/>
      </c>
      <c r="UY5">
        <f>BDS("TFCFA US Equity","SUPPLY_CHAIN_SUPPLIERS_FULL_DATA")</f>
        <v/>
      </c>
      <c r="VM5">
        <f>BDS("TFCFA US Equity","SUPPLY_CHAIN_CUSTOMERS_FULL_DATA")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1781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1782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1783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1784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1785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1786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1787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1788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1789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1790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1791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1792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1793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1794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1795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1796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1797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1798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1799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1800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BRK/A US Equity</t>
        </is>
      </c>
      <c r="AE2" s="3" t="inlineStr">
        <is>
          <t>SGID US Equity</t>
        </is>
      </c>
      <c r="BI2" s="3" t="inlineStr">
        <is>
          <t>LNG US Equity</t>
        </is>
      </c>
      <c r="CM2" s="3" t="inlineStr">
        <is>
          <t>CRS US Equity</t>
        </is>
      </c>
      <c r="DQ2" s="3" t="inlineStr">
        <is>
          <t>AGR US Equity</t>
        </is>
      </c>
      <c r="EU2" s="3" t="inlineStr">
        <is>
          <t>HBI US Equity</t>
        </is>
      </c>
      <c r="FY2" s="3" t="inlineStr">
        <is>
          <t>NSIT US Equity</t>
        </is>
      </c>
      <c r="HC2" s="3" t="inlineStr">
        <is>
          <t>RDN US Equity</t>
        </is>
      </c>
      <c r="IG2" s="3" t="inlineStr">
        <is>
          <t>MTSI US Equity</t>
        </is>
      </c>
      <c r="JK2" s="3" t="inlineStr">
        <is>
          <t>769050Q US Equity</t>
        </is>
      </c>
      <c r="KO2" s="3" t="inlineStr">
        <is>
          <t>CNSL US Equity</t>
        </is>
      </c>
      <c r="LS2" s="3" t="inlineStr">
        <is>
          <t>nan Equity</t>
        </is>
      </c>
      <c r="MW2" s="3" t="inlineStr">
        <is>
          <t>MS US Equity</t>
        </is>
      </c>
      <c r="OA2" s="3" t="inlineStr">
        <is>
          <t>KEY US Equity</t>
        </is>
      </c>
      <c r="PE2" s="3" t="inlineStr">
        <is>
          <t>EHC US Equity</t>
        </is>
      </c>
      <c r="QI2" s="3" t="inlineStr">
        <is>
          <t>GENZ US Equity</t>
        </is>
      </c>
      <c r="RM2" s="3" t="inlineStr">
        <is>
          <t>RAZF US Equity</t>
        </is>
      </c>
      <c r="SQ2" s="3" t="inlineStr">
        <is>
          <t>BGRP US Equity</t>
        </is>
      </c>
      <c r="TU2" s="3" t="inlineStr">
        <is>
          <t>MAN US Equity</t>
        </is>
      </c>
      <c r="UY2" s="3" t="inlineStr">
        <is>
          <t>CBST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BDS("BRK/A US Equity","SUPPLY_CHAIN_SUPPLIERS_FULL_DATA")</f>
        <v/>
      </c>
      <c r="O5">
        <f>BDS("BRK/A US Equity","SUPPLY_CHAIN_CUSTOMERS_FULL_DATA")</f>
        <v/>
      </c>
      <c r="AE5">
        <f>BDS("SGID US Equity","SUPPLY_CHAIN_SUPPLIERS_FULL_DATA")</f>
        <v/>
      </c>
      <c r="AS5">
        <f>BDS("SGID US Equity","SUPPLY_CHAIN_CUSTOMERS_FULL_DATA")</f>
        <v/>
      </c>
      <c r="BI5">
        <f>BDS("LNG US Equity","SUPPLY_CHAIN_SUPPLIERS_FULL_DATA")</f>
        <v/>
      </c>
      <c r="BW5">
        <f>BDS("LNG US Equity","SUPPLY_CHAIN_CUSTOMERS_FULL_DATA")</f>
        <v/>
      </c>
      <c r="CM5">
        <f>BDS("CRS US Equity","SUPPLY_CHAIN_SUPPLIERS_FULL_DATA")</f>
        <v/>
      </c>
      <c r="DA5">
        <f>BDS("CRS US Equity","SUPPLY_CHAIN_CUSTOMERS_FULL_DATA")</f>
        <v/>
      </c>
      <c r="DQ5">
        <f>BDS("AGR US Equity","SUPPLY_CHAIN_SUPPLIERS_FULL_DATA")</f>
        <v/>
      </c>
      <c r="EE5">
        <f>BDS("AGR US Equity","SUPPLY_CHAIN_CUSTOMERS_FULL_DATA")</f>
        <v/>
      </c>
      <c r="EU5">
        <f>BDS("HBI US Equity","SUPPLY_CHAIN_SUPPLIERS_FULL_DATA")</f>
        <v/>
      </c>
      <c r="FI5">
        <f>BDS("HBI US Equity","SUPPLY_CHAIN_CUSTOMERS_FULL_DATA")</f>
        <v/>
      </c>
      <c r="FY5">
        <f>BDS("NSIT US Equity","SUPPLY_CHAIN_SUPPLIERS_FULL_DATA")</f>
        <v/>
      </c>
      <c r="GM5">
        <f>BDS("NSIT US Equity","SUPPLY_CHAIN_CUSTOMERS_FULL_DATA")</f>
        <v/>
      </c>
      <c r="HC5">
        <f>BDS("RDN US Equity","SUPPLY_CHAIN_SUPPLIERS_FULL_DATA")</f>
        <v/>
      </c>
      <c r="HQ5">
        <f>BDS("RDN US Equity","SUPPLY_CHAIN_CUSTOMERS_FULL_DATA")</f>
        <v/>
      </c>
      <c r="IG5">
        <f>BDS("MTSI US Equity","SUPPLY_CHAIN_SUPPLIERS_FULL_DATA")</f>
        <v/>
      </c>
      <c r="IU5">
        <f>BDS("MTSI US Equity","SUPPLY_CHAIN_CUSTOMERS_FULL_DATA")</f>
        <v/>
      </c>
      <c r="JK5">
        <f>BDS("769050Q US Equity","SUPPLY_CHAIN_SUPPLIERS_FULL_DATA")</f>
        <v/>
      </c>
      <c r="JY5">
        <f>BDS("769050Q US Equity","SUPPLY_CHAIN_CUSTOMERS_FULL_DATA")</f>
        <v/>
      </c>
      <c r="KO5">
        <f>BDS("CNSL US Equity","SUPPLY_CHAIN_SUPPLIERS_FULL_DATA")</f>
        <v/>
      </c>
      <c r="LC5">
        <f>BDS("CNSL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BDS("MS US Equity","SUPPLY_CHAIN_SUPPLIERS_FULL_DATA")</f>
        <v/>
      </c>
      <c r="NK5">
        <f>BDS("MS US Equity","SUPPLY_CHAIN_CUSTOMERS_FULL_DATA")</f>
        <v/>
      </c>
      <c r="OA5">
        <f>BDS("KEY US Equity","SUPPLY_CHAIN_SUPPLIERS_FULL_DATA")</f>
        <v/>
      </c>
      <c r="OO5">
        <f>BDS("KEY US Equity","SUPPLY_CHAIN_CUSTOMERS_FULL_DATA")</f>
        <v/>
      </c>
      <c r="PE5">
        <f>BDS("EHC US Equity","SUPPLY_CHAIN_SUPPLIERS_FULL_DATA")</f>
        <v/>
      </c>
      <c r="PS5">
        <f>BDS("EHC US Equity","SUPPLY_CHAIN_CUSTOMERS_FULL_DATA")</f>
        <v/>
      </c>
      <c r="QI5">
        <f>BDS("GENZ US Equity","SUPPLY_CHAIN_SUPPLIERS_FULL_DATA")</f>
        <v/>
      </c>
      <c r="QW5">
        <f>BDS("GENZ US Equity","SUPPLY_CHAIN_CUSTOMERS_FULL_DATA")</f>
        <v/>
      </c>
      <c r="RM5">
        <f>BDS("RAZF US Equity","SUPPLY_CHAIN_SUPPLIERS_FULL_DATA")</f>
        <v/>
      </c>
      <c r="SA5">
        <f>BDS("RAZF US Equity","SUPPLY_CHAIN_CUSTOMERS_FULL_DATA")</f>
        <v/>
      </c>
      <c r="SQ5">
        <f>BDS("BGRP US Equity","SUPPLY_CHAIN_SUPPLIERS_FULL_DATA")</f>
        <v/>
      </c>
      <c r="TE5">
        <f>BDS("BGRP US Equity","SUPPLY_CHAIN_CUSTOMERS_FULL_DATA")</f>
        <v/>
      </c>
      <c r="TU5">
        <f>BDS("MAN US Equity","SUPPLY_CHAIN_SUPPLIERS_FULL_DATA")</f>
        <v/>
      </c>
      <c r="UI5">
        <f>BDS("MAN US Equity","SUPPLY_CHAIN_CUSTOMERS_FULL_DATA")</f>
        <v/>
      </c>
      <c r="UY5">
        <f>BDS("CBST US Equity","SUPPLY_CHAIN_SUPPLIERS_FULL_DATA")</f>
        <v/>
      </c>
      <c r="VM5">
        <f>BDS("CBST US Equity","SUPPLY_CHAIN_CUSTOMERS_FULL_DATA")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1801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1802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1803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1804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1805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1806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1807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1808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1809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1810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1811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1812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1813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1814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1815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1816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1817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1818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1819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1820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HBAN US Equity</t>
        </is>
      </c>
      <c r="AE2" s="3" t="inlineStr">
        <is>
          <t>ROCC US Equity</t>
        </is>
      </c>
      <c r="BI2" s="3" t="inlineStr">
        <is>
          <t>RDN US Equity</t>
        </is>
      </c>
      <c r="CM2" s="3" t="inlineStr">
        <is>
          <t>3539245Q US Equity</t>
        </is>
      </c>
      <c r="DQ2" s="3" t="inlineStr">
        <is>
          <t>NOC US Equity</t>
        </is>
      </c>
      <c r="EU2" s="3" t="inlineStr">
        <is>
          <t>RVTY US Equity</t>
        </is>
      </c>
      <c r="FY2" s="3" t="inlineStr">
        <is>
          <t>MATX US Equity</t>
        </is>
      </c>
      <c r="HC2" s="3" t="inlineStr">
        <is>
          <t>PAET US Equity</t>
        </is>
      </c>
      <c r="IG2" s="3" t="inlineStr">
        <is>
          <t>285939Q US Equity</t>
        </is>
      </c>
      <c r="JK2" s="3" t="inlineStr">
        <is>
          <t>AVT US Equity</t>
        </is>
      </c>
      <c r="KO2" s="3" t="inlineStr">
        <is>
          <t>KEY US Equity</t>
        </is>
      </c>
      <c r="LS2" s="3" t="inlineStr">
        <is>
          <t>PNC US Equity</t>
        </is>
      </c>
      <c r="MW2" s="3" t="inlineStr">
        <is>
          <t>MTB US Equity</t>
        </is>
      </c>
      <c r="OA2" s="3" t="inlineStr">
        <is>
          <t>JNJ US Equity</t>
        </is>
      </c>
      <c r="PE2" s="3" t="inlineStr">
        <is>
          <t>CSGP US Equity</t>
        </is>
      </c>
      <c r="QI2" s="3" t="inlineStr">
        <is>
          <t>1552309D US Equity</t>
        </is>
      </c>
      <c r="RM2" s="3" t="inlineStr">
        <is>
          <t>BBDC US Equity</t>
        </is>
      </c>
      <c r="SQ2" s="3" t="inlineStr">
        <is>
          <t>BRK/A US Equity</t>
        </is>
      </c>
      <c r="TU2" s="3" t="inlineStr">
        <is>
          <t>ANDW US Equity</t>
        </is>
      </c>
      <c r="UY2" s="3" t="inlineStr">
        <is>
          <t>BRL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BDS("HBAN US Equity","SUPPLY_CHAIN_SUPPLIERS_FULL_DATA")</f>
        <v/>
      </c>
      <c r="O5">
        <f>BDS("HBAN US Equity","SUPPLY_CHAIN_CUSTOMERS_FULL_DATA")</f>
        <v/>
      </c>
      <c r="AE5">
        <f>BDS("ROCC US Equity","SUPPLY_CHAIN_SUPPLIERS_FULL_DATA")</f>
        <v/>
      </c>
      <c r="AS5">
        <f>BDS("ROCC US Equity","SUPPLY_CHAIN_CUSTOMERS_FULL_DATA")</f>
        <v/>
      </c>
      <c r="BI5">
        <f>BDS("RDN US Equity","SUPPLY_CHAIN_SUPPLIERS_FULL_DATA")</f>
        <v/>
      </c>
      <c r="BW5">
        <f>BDS("RDN US Equity","SUPPLY_CHAIN_CUSTOMERS_FULL_DATA")</f>
        <v/>
      </c>
      <c r="CM5">
        <f>BDS("3539245Q US Equity","SUPPLY_CHAIN_SUPPLIERS_FULL_DATA")</f>
        <v/>
      </c>
      <c r="DA5">
        <f>BDS("3539245Q US Equity","SUPPLY_CHAIN_CUSTOMERS_FULL_DATA")</f>
        <v/>
      </c>
      <c r="DQ5">
        <f>BDS("NOC US Equity","SUPPLY_CHAIN_SUPPLIERS_FULL_DATA")</f>
        <v/>
      </c>
      <c r="EE5">
        <f>BDS("NOC US Equity","SUPPLY_CHAIN_CUSTOMERS_FULL_DATA")</f>
        <v/>
      </c>
      <c r="EU5">
        <f>BDS("RVTY US Equity","SUPPLY_CHAIN_SUPPLIERS_FULL_DATA")</f>
        <v/>
      </c>
      <c r="FI5">
        <f>BDS("RVTY US Equity","SUPPLY_CHAIN_CUSTOMERS_FULL_DATA")</f>
        <v/>
      </c>
      <c r="FY5">
        <f>BDS("MATX US Equity","SUPPLY_CHAIN_SUPPLIERS_FULL_DATA")</f>
        <v/>
      </c>
      <c r="GM5">
        <f>BDS("MATX US Equity","SUPPLY_CHAIN_CUSTOMERS_FULL_DATA")</f>
        <v/>
      </c>
      <c r="HC5">
        <f>BDS("PAET US Equity","SUPPLY_CHAIN_SUPPLIERS_FULL_DATA")</f>
        <v/>
      </c>
      <c r="HQ5">
        <f>BDS("PAET US Equity","SUPPLY_CHAIN_CUSTOMERS_FULL_DATA")</f>
        <v/>
      </c>
      <c r="IG5">
        <f>BDS("285939Q US Equity","SUPPLY_CHAIN_SUPPLIERS_FULL_DATA")</f>
        <v/>
      </c>
      <c r="IU5">
        <f>BDS("285939Q US Equity","SUPPLY_CHAIN_CUSTOMERS_FULL_DATA")</f>
        <v/>
      </c>
      <c r="JK5">
        <f>BDS("AVT US Equity","SUPPLY_CHAIN_SUPPLIERS_FULL_DATA")</f>
        <v/>
      </c>
      <c r="JY5">
        <f>BDS("AVT US Equity","SUPPLY_CHAIN_CUSTOMERS_FULL_DATA")</f>
        <v/>
      </c>
      <c r="KO5">
        <f>BDS("KEY US Equity","SUPPLY_CHAIN_SUPPLIERS_FULL_DATA")</f>
        <v/>
      </c>
      <c r="LC5">
        <f>BDS("KEY US Equity","SUPPLY_CHAIN_CUSTOMERS_FULL_DATA")</f>
        <v/>
      </c>
      <c r="LS5">
        <f>BDS("PNC US Equity","SUPPLY_CHAIN_SUPPLIERS_FULL_DATA")</f>
        <v/>
      </c>
      <c r="MG5">
        <f>BDS("PNC US Equity","SUPPLY_CHAIN_CUSTOMERS_FULL_DATA")</f>
        <v/>
      </c>
      <c r="MW5">
        <f>BDS("MTB US Equity","SUPPLY_CHAIN_SUPPLIERS_FULL_DATA")</f>
        <v/>
      </c>
      <c r="NK5">
        <f>BDS("MTB US Equity","SUPPLY_CHAIN_CUSTOMERS_FULL_DATA")</f>
        <v/>
      </c>
      <c r="OA5">
        <f>BDS("JNJ US Equity","SUPPLY_CHAIN_SUPPLIERS_FULL_DATA")</f>
        <v/>
      </c>
      <c r="OO5">
        <f>BDS("JNJ US Equity","SUPPLY_CHAIN_CUSTOMERS_FULL_DATA")</f>
        <v/>
      </c>
      <c r="PE5">
        <f>BDS("CSGP US Equity","SUPPLY_CHAIN_SUPPLIERS_FULL_DATA")</f>
        <v/>
      </c>
      <c r="PS5">
        <f>BDS("CSGP US Equity","SUPPLY_CHAIN_CUSTOMERS_FULL_DATA")</f>
        <v/>
      </c>
      <c r="QI5">
        <f>BDS("1552309D US Equity","SUPPLY_CHAIN_SUPPLIERS_FULL_DATA")</f>
        <v/>
      </c>
      <c r="QW5">
        <f>BDS("1552309D US Equity","SUPPLY_CHAIN_CUSTOMERS_FULL_DATA")</f>
        <v/>
      </c>
      <c r="RM5">
        <f>BDS("BBDC US Equity","SUPPLY_CHAIN_SUPPLIERS_FULL_DATA")</f>
        <v/>
      </c>
      <c r="SA5">
        <f>BDS("BBDC US Equity","SUPPLY_CHAIN_CUSTOMERS_FULL_DATA")</f>
        <v/>
      </c>
      <c r="SQ5">
        <f>BDS("BRK/A US Equity","SUPPLY_CHAIN_SUPPLIERS_FULL_DATA")</f>
        <v/>
      </c>
      <c r="TE5">
        <f>BDS("BRK/A US Equity","SUPPLY_CHAIN_CUSTOMERS_FULL_DATA")</f>
        <v/>
      </c>
      <c r="TU5">
        <f>BDS("ANDW US Equity","SUPPLY_CHAIN_SUPPLIERS_FULL_DATA")</f>
        <v/>
      </c>
      <c r="UI5">
        <f>BDS("ANDW US Equity","SUPPLY_CHAIN_CUSTOMERS_FULL_DATA")</f>
        <v/>
      </c>
      <c r="UY5">
        <f>BDS("BRL US Equity","SUPPLY_CHAIN_SUPPLIERS_FULL_DATA")</f>
        <v/>
      </c>
      <c r="VM5">
        <f>BDS("BRL US Equity","SUPPLY_CHAIN_CUSTOMERS_FULL_DATA")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1821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1822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1823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1824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1825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1826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1827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1828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1829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1830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1831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1832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1833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1834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1835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1836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1837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1838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1839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1840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SFNC US Equity</t>
        </is>
      </c>
      <c r="AE2" s="3" t="inlineStr">
        <is>
          <t>2987536Q US Equity</t>
        </is>
      </c>
      <c r="BI2" s="3" t="inlineStr">
        <is>
          <t>PBCT US Equity</t>
        </is>
      </c>
      <c r="CM2" s="3" t="inlineStr">
        <is>
          <t>HOLX US Equity</t>
        </is>
      </c>
      <c r="DQ2" s="3" t="inlineStr">
        <is>
          <t>2213185D US Equity</t>
        </is>
      </c>
      <c r="EU2" s="3" t="inlineStr">
        <is>
          <t>AKBA US Equity</t>
        </is>
      </c>
      <c r="FY2" s="3" t="inlineStr">
        <is>
          <t>WACGQ US Equity</t>
        </is>
      </c>
      <c r="HC2" s="3" t="inlineStr">
        <is>
          <t>FBIN US Equity</t>
        </is>
      </c>
      <c r="IG2" s="3" t="inlineStr">
        <is>
          <t>MTCH US Equity</t>
        </is>
      </c>
      <c r="JK2" s="3" t="inlineStr">
        <is>
          <t>AGN US Equity</t>
        </is>
      </c>
      <c r="KO2" s="3" t="inlineStr">
        <is>
          <t>HUM US Equity</t>
        </is>
      </c>
      <c r="LS2" s="3" t="inlineStr">
        <is>
          <t>764144Q US Equity</t>
        </is>
      </c>
      <c r="MW2" s="3" t="inlineStr">
        <is>
          <t>ETRN US Equity</t>
        </is>
      </c>
      <c r="OA2" s="3" t="inlineStr">
        <is>
          <t>HYSL US Equity</t>
        </is>
      </c>
      <c r="PE2" s="3" t="inlineStr">
        <is>
          <t>0167866D US Equity</t>
        </is>
      </c>
      <c r="QI2" s="3" t="inlineStr">
        <is>
          <t>1938073D US Equity</t>
        </is>
      </c>
      <c r="RM2" s="3" t="inlineStr">
        <is>
          <t>AGN US Equity</t>
        </is>
      </c>
      <c r="SQ2" s="3" t="inlineStr">
        <is>
          <t>SFNC US Equity</t>
        </is>
      </c>
      <c r="TU2" s="3" t="inlineStr">
        <is>
          <t>KYPH US Equity</t>
        </is>
      </c>
      <c r="UY2" s="3" t="inlineStr">
        <is>
          <t>3691661Q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BDS("SFNC US Equity","SUPPLY_CHAIN_SUPPLIERS_FULL_DATA")</f>
        <v/>
      </c>
      <c r="O5">
        <f>BDS("SFNC US Equity","SUPPLY_CHAIN_CUSTOMERS_FULL_DATA")</f>
        <v/>
      </c>
      <c r="AE5">
        <f>BDS("2987536Q US Equity","SUPPLY_CHAIN_SUPPLIERS_FULL_DATA")</f>
        <v/>
      </c>
      <c r="AS5">
        <f>BDS("2987536Q US Equity","SUPPLY_CHAIN_CUSTOMERS_FULL_DATA")</f>
        <v/>
      </c>
      <c r="BI5">
        <f>BDS("PBCT US Equity","SUPPLY_CHAIN_SUPPLIERS_FULL_DATA")</f>
        <v/>
      </c>
      <c r="BW5">
        <f>BDS("PBCT US Equity","SUPPLY_CHAIN_CUSTOMERS_FULL_DATA")</f>
        <v/>
      </c>
      <c r="CM5">
        <f>BDS("HOLX US Equity","SUPPLY_CHAIN_SUPPLIERS_FULL_DATA")</f>
        <v/>
      </c>
      <c r="DA5">
        <f>BDS("HOLX US Equity","SUPPLY_CHAIN_CUSTOMERS_FULL_DATA")</f>
        <v/>
      </c>
      <c r="DQ5">
        <f>BDS("2213185D US Equity","SUPPLY_CHAIN_SUPPLIERS_FULL_DATA")</f>
        <v/>
      </c>
      <c r="EE5">
        <f>BDS("2213185D US Equity","SUPPLY_CHAIN_CUSTOMERS_FULL_DATA")</f>
        <v/>
      </c>
      <c r="EU5">
        <f>BDS("AKBA US Equity","SUPPLY_CHAIN_SUPPLIERS_FULL_DATA")</f>
        <v/>
      </c>
      <c r="FI5">
        <f>BDS("AKBA US Equity","SUPPLY_CHAIN_CUSTOMERS_FULL_DATA")</f>
        <v/>
      </c>
      <c r="FY5">
        <f>BDS("WACGQ US Equity","SUPPLY_CHAIN_SUPPLIERS_FULL_DATA")</f>
        <v/>
      </c>
      <c r="GM5">
        <f>BDS("WACGQ US Equity","SUPPLY_CHAIN_CUSTOMERS_FULL_DATA")</f>
        <v/>
      </c>
      <c r="HC5">
        <f>BDS("FBIN US Equity","SUPPLY_CHAIN_SUPPLIERS_FULL_DATA")</f>
        <v/>
      </c>
      <c r="HQ5">
        <f>BDS("FBIN US Equity","SUPPLY_CHAIN_CUSTOMERS_FULL_DATA")</f>
        <v/>
      </c>
      <c r="IG5">
        <f>BDS("MTCH US Equity","SUPPLY_CHAIN_SUPPLIERS_FULL_DATA")</f>
        <v/>
      </c>
      <c r="IU5">
        <f>BDS("MTCH US Equity","SUPPLY_CHAIN_CUSTOMERS_FULL_DATA")</f>
        <v/>
      </c>
      <c r="JK5">
        <f>BDS("AGN US Equity","SUPPLY_CHAIN_SUPPLIERS_FULL_DATA")</f>
        <v/>
      </c>
      <c r="JY5">
        <f>BDS("AGN US Equity","SUPPLY_CHAIN_CUSTOMERS_FULL_DATA")</f>
        <v/>
      </c>
      <c r="KO5">
        <f>BDS("HUM US Equity","SUPPLY_CHAIN_SUPPLIERS_FULL_DATA")</f>
        <v/>
      </c>
      <c r="LC5">
        <f>BDS("HUM US Equity","SUPPLY_CHAIN_CUSTOMERS_FULL_DATA")</f>
        <v/>
      </c>
      <c r="LS5">
        <f>BDS("764144Q US Equity","SUPPLY_CHAIN_SUPPLIERS_FULL_DATA")</f>
        <v/>
      </c>
      <c r="MG5">
        <f>BDS("764144Q US Equity","SUPPLY_CHAIN_CUSTOMERS_FULL_DATA")</f>
        <v/>
      </c>
      <c r="MW5">
        <f>BDS("ETRN US Equity","SUPPLY_CHAIN_SUPPLIERS_FULL_DATA")</f>
        <v/>
      </c>
      <c r="NK5">
        <f>BDS("ETRN US Equity","SUPPLY_CHAIN_CUSTOMERS_FULL_DATA")</f>
        <v/>
      </c>
      <c r="OA5">
        <f>BDS("HYSL US Equity","SUPPLY_CHAIN_SUPPLIERS_FULL_DATA")</f>
        <v/>
      </c>
      <c r="OO5">
        <f>BDS("HYSL US Equity","SUPPLY_CHAIN_CUSTOMERS_FULL_DATA")</f>
        <v/>
      </c>
      <c r="PE5">
        <f>BDS("0167866D US Equity","SUPPLY_CHAIN_SUPPLIERS_FULL_DATA")</f>
        <v/>
      </c>
      <c r="PS5">
        <f>BDS("0167866D US Equity","SUPPLY_CHAIN_CUSTOMERS_FULL_DATA")</f>
        <v/>
      </c>
      <c r="QI5">
        <f>BDS("1938073D US Equity","SUPPLY_CHAIN_SUPPLIERS_FULL_DATA")</f>
        <v/>
      </c>
      <c r="QW5">
        <f>BDS("1938073D US Equity","SUPPLY_CHAIN_CUSTOMERS_FULL_DATA")</f>
        <v/>
      </c>
      <c r="RM5">
        <f>BDS("AGN US Equity","SUPPLY_CHAIN_SUPPLIERS_FULL_DATA")</f>
        <v/>
      </c>
      <c r="SA5">
        <f>BDS("AGN US Equity","SUPPLY_CHAIN_CUSTOMERS_FULL_DATA")</f>
        <v/>
      </c>
      <c r="SQ5">
        <f>BDS("SFNC US Equity","SUPPLY_CHAIN_SUPPLIERS_FULL_DATA")</f>
        <v/>
      </c>
      <c r="TE5">
        <f>BDS("SFNC US Equity","SUPPLY_CHAIN_CUSTOMERS_FULL_DATA")</f>
        <v/>
      </c>
      <c r="TU5">
        <f>BDS("KYPH US Equity","SUPPLY_CHAIN_SUPPLIERS_FULL_DATA")</f>
        <v/>
      </c>
      <c r="UI5">
        <f>BDS("KYPH US Equity","SUPPLY_CHAIN_CUSTOMERS_FULL_DATA")</f>
        <v/>
      </c>
      <c r="UY5">
        <f>BDS("3691661Q US Equity","SUPPLY_CHAIN_SUPPLIERS_FULL_DATA")</f>
        <v/>
      </c>
      <c r="VM5">
        <f>BDS("3691661Q US Equity","SUPPLY_CHAIN_CUSTOMERS_FULL_DATA")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1841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1842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1843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1844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1845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1846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1847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1848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1849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1850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1851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1852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1853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1854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1855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1856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1857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1858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1859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1860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FIBK US Equity</t>
        </is>
      </c>
      <c r="AE2" s="3" t="inlineStr">
        <is>
          <t>MGM US Equity</t>
        </is>
      </c>
      <c r="BI2" s="3" t="inlineStr">
        <is>
          <t>SF US Equity</t>
        </is>
      </c>
      <c r="CM2" s="3" t="inlineStr">
        <is>
          <t>1811934D US Equity</t>
        </is>
      </c>
      <c r="DQ2" s="3" t="inlineStr">
        <is>
          <t>9980328D US Equity</t>
        </is>
      </c>
      <c r="EU2" s="3" t="inlineStr">
        <is>
          <t>GENZ US Equity</t>
        </is>
      </c>
      <c r="FY2" s="3" t="inlineStr">
        <is>
          <t>UCB US Equity</t>
        </is>
      </c>
      <c r="HC2" s="3" t="inlineStr">
        <is>
          <t>MXO US Equity</t>
        </is>
      </c>
      <c r="IG2" s="3" t="inlineStr">
        <is>
          <t>VECO US Equity</t>
        </is>
      </c>
      <c r="JK2" s="3" t="inlineStr">
        <is>
          <t>VNRSQ US Equity</t>
        </is>
      </c>
      <c r="KO2" s="3" t="inlineStr">
        <is>
          <t>MDRIQ US Equity</t>
        </is>
      </c>
      <c r="LS2" s="3" t="inlineStr">
        <is>
          <t>ACORQ US Equity</t>
        </is>
      </c>
      <c r="MW2" s="3" t="inlineStr">
        <is>
          <t>2924917Q US Equity</t>
        </is>
      </c>
      <c r="OA2" s="3" t="inlineStr">
        <is>
          <t>VFC US Equity</t>
        </is>
      </c>
      <c r="PE2" s="3" t="inlineStr">
        <is>
          <t>JNJ US Equity</t>
        </is>
      </c>
      <c r="QI2" s="3" t="inlineStr">
        <is>
          <t>MTCH US Equity</t>
        </is>
      </c>
      <c r="RM2" s="3" t="inlineStr">
        <is>
          <t>1608941D US Equity</t>
        </is>
      </c>
      <c r="SQ2" s="3" t="inlineStr">
        <is>
          <t>1528159D US Equity</t>
        </is>
      </c>
      <c r="TU2" s="3" t="inlineStr">
        <is>
          <t>QMCO US Equity</t>
        </is>
      </c>
      <c r="UY2" s="3" t="inlineStr">
        <is>
          <t>ACIW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BDS("FIBK US Equity","SUPPLY_CHAIN_SUPPLIERS_FULL_DATA")</f>
        <v/>
      </c>
      <c r="O5">
        <f>BDS("FIBK US Equity","SUPPLY_CHAIN_CUSTOMERS_FULL_DATA")</f>
        <v/>
      </c>
      <c r="AE5">
        <f>BDS("MGM US Equity","SUPPLY_CHAIN_SUPPLIERS_FULL_DATA")</f>
        <v/>
      </c>
      <c r="AS5">
        <f>BDS("MGM US Equity","SUPPLY_CHAIN_CUSTOMERS_FULL_DATA")</f>
        <v/>
      </c>
      <c r="BI5">
        <f>BDS("SF US Equity","SUPPLY_CHAIN_SUPPLIERS_FULL_DATA")</f>
        <v/>
      </c>
      <c r="BW5">
        <f>BDS("SF US Equity","SUPPLY_CHAIN_CUSTOMERS_FULL_DATA")</f>
        <v/>
      </c>
      <c r="CM5">
        <f>BDS("1811934D US Equity","SUPPLY_CHAIN_SUPPLIERS_FULL_DATA")</f>
        <v/>
      </c>
      <c r="DA5">
        <f>BDS("1811934D US Equity","SUPPLY_CHAIN_CUSTOMERS_FULL_DATA")</f>
        <v/>
      </c>
      <c r="DQ5">
        <f>BDS("9980328D US Equity","SUPPLY_CHAIN_SUPPLIERS_FULL_DATA")</f>
        <v/>
      </c>
      <c r="EE5">
        <f>BDS("9980328D US Equity","SUPPLY_CHAIN_CUSTOMERS_FULL_DATA")</f>
        <v/>
      </c>
      <c r="EU5">
        <f>BDS("GENZ US Equity","SUPPLY_CHAIN_SUPPLIERS_FULL_DATA")</f>
        <v/>
      </c>
      <c r="FI5">
        <f>BDS("GENZ US Equity","SUPPLY_CHAIN_CUSTOMERS_FULL_DATA")</f>
        <v/>
      </c>
      <c r="FY5">
        <f>BDS("UCB US Equity","SUPPLY_CHAIN_SUPPLIERS_FULL_DATA")</f>
        <v/>
      </c>
      <c r="GM5">
        <f>BDS("UCB US Equity","SUPPLY_CHAIN_CUSTOMERS_FULL_DATA")</f>
        <v/>
      </c>
      <c r="HC5">
        <f>BDS("MXO US Equity","SUPPLY_CHAIN_SUPPLIERS_FULL_DATA")</f>
        <v/>
      </c>
      <c r="HQ5">
        <f>BDS("MXO US Equity","SUPPLY_CHAIN_CUSTOMERS_FULL_DATA")</f>
        <v/>
      </c>
      <c r="IG5">
        <f>BDS("VECO US Equity","SUPPLY_CHAIN_SUPPLIERS_FULL_DATA")</f>
        <v/>
      </c>
      <c r="IU5">
        <f>BDS("VECO US Equity","SUPPLY_CHAIN_CUSTOMERS_FULL_DATA")</f>
        <v/>
      </c>
      <c r="JK5">
        <f>BDS("VNRSQ US Equity","SUPPLY_CHAIN_SUPPLIERS_FULL_DATA")</f>
        <v/>
      </c>
      <c r="JY5">
        <f>BDS("VNRSQ US Equity","SUPPLY_CHAIN_CUSTOMERS_FULL_DATA")</f>
        <v/>
      </c>
      <c r="KO5">
        <f>BDS("MDRIQ US Equity","SUPPLY_CHAIN_SUPPLIERS_FULL_DATA")</f>
        <v/>
      </c>
      <c r="LC5">
        <f>BDS("MDRIQ US Equity","SUPPLY_CHAIN_CUSTOMERS_FULL_DATA")</f>
        <v/>
      </c>
      <c r="LS5">
        <f>BDS("ACORQ US Equity","SUPPLY_CHAIN_SUPPLIERS_FULL_DATA")</f>
        <v/>
      </c>
      <c r="MG5">
        <f>BDS("ACORQ US Equity","SUPPLY_CHAIN_CUSTOMERS_FULL_DATA")</f>
        <v/>
      </c>
      <c r="MW5">
        <f>BDS("2924917Q US Equity","SUPPLY_CHAIN_SUPPLIERS_FULL_DATA")</f>
        <v/>
      </c>
      <c r="NK5">
        <f>BDS("2924917Q US Equity","SUPPLY_CHAIN_CUSTOMERS_FULL_DATA")</f>
        <v/>
      </c>
      <c r="OA5">
        <f>BDS("VFC US Equity","SUPPLY_CHAIN_SUPPLIERS_FULL_DATA")</f>
        <v/>
      </c>
      <c r="OO5">
        <f>BDS("VFC US Equity","SUPPLY_CHAIN_CUSTOMERS_FULL_DATA")</f>
        <v/>
      </c>
      <c r="PE5">
        <f>BDS("JNJ US Equity","SUPPLY_CHAIN_SUPPLIERS_FULL_DATA")</f>
        <v/>
      </c>
      <c r="PS5">
        <f>BDS("JNJ US Equity","SUPPLY_CHAIN_CUSTOMERS_FULL_DATA")</f>
        <v/>
      </c>
      <c r="QI5">
        <f>BDS("MTCH US Equity","SUPPLY_CHAIN_SUPPLIERS_FULL_DATA")</f>
        <v/>
      </c>
      <c r="QW5">
        <f>BDS("MTCH US Equity","SUPPLY_CHAIN_CUSTOMERS_FULL_DATA")</f>
        <v/>
      </c>
      <c r="RM5">
        <f>BDS("1608941D US Equity","SUPPLY_CHAIN_SUPPLIERS_FULL_DATA")</f>
        <v/>
      </c>
      <c r="SA5">
        <f>BDS("1608941D US Equity","SUPPLY_CHAIN_CUSTOMERS_FULL_DATA")</f>
        <v/>
      </c>
      <c r="SQ5">
        <f>BDS("1528159D US Equity","SUPPLY_CHAIN_SUPPLIERS_FULL_DATA")</f>
        <v/>
      </c>
      <c r="TE5">
        <f>BDS("1528159D US Equity","SUPPLY_CHAIN_CUSTOMERS_FULL_DATA")</f>
        <v/>
      </c>
      <c r="TU5">
        <f>BDS("QMCO US Equity","SUPPLY_CHAIN_SUPPLIERS_FULL_DATA")</f>
        <v/>
      </c>
      <c r="UI5">
        <f>BDS("QMCO US Equity","SUPPLY_CHAIN_CUSTOMERS_FULL_DATA")</f>
        <v/>
      </c>
      <c r="UY5">
        <f>BDS("ACIW US Equity","SUPPLY_CHAIN_SUPPLIERS_FULL_DATA")</f>
        <v/>
      </c>
      <c r="VM5">
        <f>BDS("ACIW US Equity","SUPPLY_CHAIN_CUSTOMERS_FULL_DATA")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1861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1862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1863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1864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1865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1866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1867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1868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1869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1870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1871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1872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1873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1874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1875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1876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1877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1878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1879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1880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8285461Q US Equity</t>
        </is>
      </c>
      <c r="AE2" s="3" t="inlineStr">
        <is>
          <t>AZA US Equity</t>
        </is>
      </c>
      <c r="BI2" s="3" t="inlineStr">
        <is>
          <t>STL US Equity</t>
        </is>
      </c>
      <c r="CM2" s="3" t="inlineStr">
        <is>
          <t>0700161D US Equity</t>
        </is>
      </c>
      <c r="DQ2" s="3" t="inlineStr">
        <is>
          <t>1350017D US Equity</t>
        </is>
      </c>
      <c r="EU2" s="3" t="inlineStr">
        <is>
          <t>CAR US Equity</t>
        </is>
      </c>
      <c r="FY2" s="3" t="inlineStr">
        <is>
          <t>GMRRQ US Equity</t>
        </is>
      </c>
      <c r="HC2" s="3" t="inlineStr">
        <is>
          <t>ORCL US Equity</t>
        </is>
      </c>
      <c r="IG2" s="3" t="inlineStr">
        <is>
          <t>MDT US Equity</t>
        </is>
      </c>
      <c r="JK2" s="3" t="inlineStr">
        <is>
          <t>EMN US Equity</t>
        </is>
      </c>
      <c r="KO2" s="3" t="inlineStr">
        <is>
          <t>2213185D US Equity</t>
        </is>
      </c>
      <c r="LS2" s="3" t="inlineStr">
        <is>
          <t>GTN US Equity</t>
        </is>
      </c>
      <c r="MW2" s="3" t="inlineStr">
        <is>
          <t>MCLDQ US Equity</t>
        </is>
      </c>
      <c r="OA2" s="3" t="inlineStr">
        <is>
          <t>1004Q US Equity</t>
        </is>
      </c>
      <c r="PE2" s="3" t="inlineStr">
        <is>
          <t>MSFT US Equity</t>
        </is>
      </c>
      <c r="QI2" s="3" t="inlineStr">
        <is>
          <t>WSBC US Equity</t>
        </is>
      </c>
      <c r="RM2" s="3" t="inlineStr">
        <is>
          <t>UPS US Equity</t>
        </is>
      </c>
      <c r="SQ2" s="3" t="inlineStr">
        <is>
          <t>IBM US Equity</t>
        </is>
      </c>
      <c r="TU2" s="3" t="inlineStr">
        <is>
          <t>COLL US Equity</t>
        </is>
      </c>
      <c r="UY2" s="3" t="inlineStr">
        <is>
          <t>ARCH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BDS("8285461Q US Equity","SUPPLY_CHAIN_SUPPLIERS_FULL_DATA")</f>
        <v/>
      </c>
      <c r="O5">
        <f>BDS("8285461Q US Equity","SUPPLY_CHAIN_CUSTOMERS_FULL_DATA")</f>
        <v/>
      </c>
      <c r="AE5">
        <f>BDS("AZA US Equity","SUPPLY_CHAIN_SUPPLIERS_FULL_DATA")</f>
        <v/>
      </c>
      <c r="AS5">
        <f>BDS("AZA US Equity","SUPPLY_CHAIN_CUSTOMERS_FULL_DATA")</f>
        <v/>
      </c>
      <c r="BI5">
        <f>BDS("STL US Equity","SUPPLY_CHAIN_SUPPLIERS_FULL_DATA")</f>
        <v/>
      </c>
      <c r="BW5">
        <f>BDS("STL US Equity","SUPPLY_CHAIN_CUSTOMERS_FULL_DATA")</f>
        <v/>
      </c>
      <c r="CM5">
        <f>BDS("0700161D US Equity","SUPPLY_CHAIN_SUPPLIERS_FULL_DATA")</f>
        <v/>
      </c>
      <c r="DA5">
        <f>BDS("0700161D US Equity","SUPPLY_CHAIN_CUSTOMERS_FULL_DATA")</f>
        <v/>
      </c>
      <c r="DQ5">
        <f>BDS("1350017D US Equity","SUPPLY_CHAIN_SUPPLIERS_FULL_DATA")</f>
        <v/>
      </c>
      <c r="EE5">
        <f>BDS("1350017D US Equity","SUPPLY_CHAIN_CUSTOMERS_FULL_DATA")</f>
        <v/>
      </c>
      <c r="EU5">
        <f>BDS("CAR US Equity","SUPPLY_CHAIN_SUPPLIERS_FULL_DATA")</f>
        <v/>
      </c>
      <c r="FI5">
        <f>BDS("CAR US Equity","SUPPLY_CHAIN_CUSTOMERS_FULL_DATA")</f>
        <v/>
      </c>
      <c r="FY5">
        <f>BDS("GMRRQ US Equity","SUPPLY_CHAIN_SUPPLIERS_FULL_DATA")</f>
        <v/>
      </c>
      <c r="GM5">
        <f>BDS("GMRRQ US Equity","SUPPLY_CHAIN_CUSTOMERS_FULL_DATA")</f>
        <v/>
      </c>
      <c r="HC5">
        <f>BDS("ORCL US Equity","SUPPLY_CHAIN_SUPPLIERS_FULL_DATA")</f>
        <v/>
      </c>
      <c r="HQ5">
        <f>BDS("ORCL US Equity","SUPPLY_CHAIN_CUSTOMERS_FULL_DATA")</f>
        <v/>
      </c>
      <c r="IG5">
        <f>BDS("MDT US Equity","SUPPLY_CHAIN_SUPPLIERS_FULL_DATA")</f>
        <v/>
      </c>
      <c r="IU5">
        <f>BDS("MDT US Equity","SUPPLY_CHAIN_CUSTOMERS_FULL_DATA")</f>
        <v/>
      </c>
      <c r="JK5">
        <f>BDS("EMN US Equity","SUPPLY_CHAIN_SUPPLIERS_FULL_DATA")</f>
        <v/>
      </c>
      <c r="JY5">
        <f>BDS("EMN US Equity","SUPPLY_CHAIN_CUSTOMERS_FULL_DATA")</f>
        <v/>
      </c>
      <c r="KO5">
        <f>BDS("2213185D US Equity","SUPPLY_CHAIN_SUPPLIERS_FULL_DATA")</f>
        <v/>
      </c>
      <c r="LC5">
        <f>BDS("2213185D US Equity","SUPPLY_CHAIN_CUSTOMERS_FULL_DATA")</f>
        <v/>
      </c>
      <c r="LS5">
        <f>BDS("GTN US Equity","SUPPLY_CHAIN_SUPPLIERS_FULL_DATA")</f>
        <v/>
      </c>
      <c r="MG5">
        <f>BDS("GTN US Equity","SUPPLY_CHAIN_CUSTOMERS_FULL_DATA")</f>
        <v/>
      </c>
      <c r="MW5">
        <f>BDS("MCLDQ US Equity","SUPPLY_CHAIN_SUPPLIERS_FULL_DATA")</f>
        <v/>
      </c>
      <c r="NK5">
        <f>BDS("MCLDQ US Equity","SUPPLY_CHAIN_CUSTOMERS_FULL_DATA")</f>
        <v/>
      </c>
      <c r="OA5">
        <f>BDS("1004Q US Equity","SUPPLY_CHAIN_SUPPLIERS_FULL_DATA")</f>
        <v/>
      </c>
      <c r="OO5">
        <f>BDS("1004Q US Equity","SUPPLY_CHAIN_CUSTOMERS_FULL_DATA")</f>
        <v/>
      </c>
      <c r="PE5">
        <f>BDS("MSFT US Equity","SUPPLY_CHAIN_SUPPLIERS_FULL_DATA")</f>
        <v/>
      </c>
      <c r="PS5">
        <f>BDS("MSFT US Equity","SUPPLY_CHAIN_CUSTOMERS_FULL_DATA")</f>
        <v/>
      </c>
      <c r="QI5">
        <f>BDS("WSBC US Equity","SUPPLY_CHAIN_SUPPLIERS_FULL_DATA")</f>
        <v/>
      </c>
      <c r="QW5">
        <f>BDS("WSBC US Equity","SUPPLY_CHAIN_CUSTOMERS_FULL_DATA")</f>
        <v/>
      </c>
      <c r="RM5">
        <f>BDS("UPS US Equity","SUPPLY_CHAIN_SUPPLIERS_FULL_DATA")</f>
        <v/>
      </c>
      <c r="SA5">
        <f>BDS("UPS US Equity","SUPPLY_CHAIN_CUSTOMERS_FULL_DATA")</f>
        <v/>
      </c>
      <c r="SQ5">
        <f>BDS("IBM US Equity","SUPPLY_CHAIN_SUPPLIERS_FULL_DATA")</f>
        <v/>
      </c>
      <c r="TE5">
        <f>BDS("IBM US Equity","SUPPLY_CHAIN_CUSTOMERS_FULL_DATA")</f>
        <v/>
      </c>
      <c r="TU5">
        <f>BDS("COLL US Equity","SUPPLY_CHAIN_SUPPLIERS_FULL_DATA")</f>
        <v/>
      </c>
      <c r="UI5">
        <f>BDS("COLL US Equity","SUPPLY_CHAIN_CUSTOMERS_FULL_DATA")</f>
        <v/>
      </c>
      <c r="UY5">
        <f>BDS("ARCH US Equity","SUPPLY_CHAIN_SUPPLIERS_FULL_DATA")</f>
        <v/>
      </c>
      <c r="VM5">
        <f>BDS("ARCH US Equity","SUPPLY_CHAIN_CUSTOMERS_FULL_DATA")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1881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1882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1883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1884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1885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1886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1887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1888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1889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1890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1891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1892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1893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1894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1895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1896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1897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1898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1899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1900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PH US Equity</t>
        </is>
      </c>
      <c r="AE2" s="3" t="inlineStr">
        <is>
          <t>MTOR US Equity</t>
        </is>
      </c>
      <c r="BI2" s="3" t="inlineStr">
        <is>
          <t>TFC US Equity</t>
        </is>
      </c>
      <c r="CM2" s="3" t="inlineStr">
        <is>
          <t>OZK US Equity</t>
        </is>
      </c>
      <c r="DQ2" s="3" t="inlineStr">
        <is>
          <t>ELNK US Equity</t>
        </is>
      </c>
      <c r="EU2" s="3" t="inlineStr">
        <is>
          <t>FMER US Equity</t>
        </is>
      </c>
      <c r="FY2" s="3" t="inlineStr">
        <is>
          <t>CLW US Equity</t>
        </is>
      </c>
      <c r="HC2" s="3" t="inlineStr">
        <is>
          <t>2269312Q US Equity</t>
        </is>
      </c>
      <c r="IG2" s="3" t="inlineStr">
        <is>
          <t>AKRXQ US Equity</t>
        </is>
      </c>
      <c r="JK2" s="3" t="inlineStr">
        <is>
          <t>nan Equity</t>
        </is>
      </c>
      <c r="KO2" s="3" t="inlineStr">
        <is>
          <t>TLB US Equity</t>
        </is>
      </c>
      <c r="LS2" s="3" t="inlineStr">
        <is>
          <t>RTN US Equity</t>
        </is>
      </c>
      <c r="MW2" s="3" t="inlineStr">
        <is>
          <t>WAB US Equity</t>
        </is>
      </c>
      <c r="OA2" s="3" t="inlineStr">
        <is>
          <t>BVS US Equity</t>
        </is>
      </c>
      <c r="PE2" s="3" t="inlineStr">
        <is>
          <t>2207158D US Equity</t>
        </is>
      </c>
      <c r="QI2" s="3" t="inlineStr">
        <is>
          <t>GE US Equity</t>
        </is>
      </c>
      <c r="RM2" s="3" t="inlineStr">
        <is>
          <t>GD US Equity</t>
        </is>
      </c>
      <c r="SQ2" s="3" t="inlineStr">
        <is>
          <t>NCC US Equity</t>
        </is>
      </c>
      <c r="TU2" s="3" t="inlineStr">
        <is>
          <t>GVA US Equity</t>
        </is>
      </c>
      <c r="UY2" s="3" t="inlineStr">
        <is>
          <t>KPSQ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BDS("PH US Equity","SUPPLY_CHAIN_SUPPLIERS_FULL_DATA")</f>
        <v/>
      </c>
      <c r="O5">
        <f>BDS("PH US Equity","SUPPLY_CHAIN_CUSTOMERS_FULL_DATA")</f>
        <v/>
      </c>
      <c r="AE5">
        <f>BDS("MTOR US Equity","SUPPLY_CHAIN_SUPPLIERS_FULL_DATA")</f>
        <v/>
      </c>
      <c r="AS5">
        <f>BDS("MTOR US Equity","SUPPLY_CHAIN_CUSTOMERS_FULL_DATA")</f>
        <v/>
      </c>
      <c r="BI5">
        <f>BDS("TFC US Equity","SUPPLY_CHAIN_SUPPLIERS_FULL_DATA")</f>
        <v/>
      </c>
      <c r="BW5">
        <f>BDS("TFC US Equity","SUPPLY_CHAIN_CUSTOMERS_FULL_DATA")</f>
        <v/>
      </c>
      <c r="CM5">
        <f>BDS("OZK US Equity","SUPPLY_CHAIN_SUPPLIERS_FULL_DATA")</f>
        <v/>
      </c>
      <c r="DA5">
        <f>BDS("OZK US Equity","SUPPLY_CHAIN_CUSTOMERS_FULL_DATA")</f>
        <v/>
      </c>
      <c r="DQ5">
        <f>BDS("ELNK US Equity","SUPPLY_CHAIN_SUPPLIERS_FULL_DATA")</f>
        <v/>
      </c>
      <c r="EE5">
        <f>BDS("ELNK US Equity","SUPPLY_CHAIN_CUSTOMERS_FULL_DATA")</f>
        <v/>
      </c>
      <c r="EU5">
        <f>BDS("FMER US Equity","SUPPLY_CHAIN_SUPPLIERS_FULL_DATA")</f>
        <v/>
      </c>
      <c r="FI5">
        <f>BDS("FMER US Equity","SUPPLY_CHAIN_CUSTOMERS_FULL_DATA")</f>
        <v/>
      </c>
      <c r="FY5">
        <f>BDS("CLW US Equity","SUPPLY_CHAIN_SUPPLIERS_FULL_DATA")</f>
        <v/>
      </c>
      <c r="GM5">
        <f>BDS("CLW US Equity","SUPPLY_CHAIN_CUSTOMERS_FULL_DATA")</f>
        <v/>
      </c>
      <c r="HC5">
        <f>BDS("2269312Q US Equity","SUPPLY_CHAIN_SUPPLIERS_FULL_DATA")</f>
        <v/>
      </c>
      <c r="HQ5">
        <f>BDS("2269312Q US Equity","SUPPLY_CHAIN_CUSTOMERS_FULL_DATA")</f>
        <v/>
      </c>
      <c r="IG5">
        <f>BDS("AKRXQ US Equity","SUPPLY_CHAIN_SUPPLIERS_FULL_DATA")</f>
        <v/>
      </c>
      <c r="IU5">
        <f>BDS("AKRXQ US Equity","SUPPLY_CHAIN_CUSTOMERS_FULL_DATA")</f>
        <v/>
      </c>
      <c r="JK5">
        <f>BDS("nan Equity","SUPPLY_CHAIN_SUPPLIERS_FULL_DATA")</f>
        <v/>
      </c>
      <c r="JY5">
        <f>BDS("nan Equity","SUPPLY_CHAIN_CUSTOMERS_FULL_DATA")</f>
        <v/>
      </c>
      <c r="KO5">
        <f>BDS("TLB US Equity","SUPPLY_CHAIN_SUPPLIERS_FULL_DATA")</f>
        <v/>
      </c>
      <c r="LC5">
        <f>BDS("TLB US Equity","SUPPLY_CHAIN_CUSTOMERS_FULL_DATA")</f>
        <v/>
      </c>
      <c r="LS5">
        <f>BDS("RTN US Equity","SUPPLY_CHAIN_SUPPLIERS_FULL_DATA")</f>
        <v/>
      </c>
      <c r="MG5">
        <f>BDS("RTN US Equity","SUPPLY_CHAIN_CUSTOMERS_FULL_DATA")</f>
        <v/>
      </c>
      <c r="MW5">
        <f>BDS("WAB US Equity","SUPPLY_CHAIN_SUPPLIERS_FULL_DATA")</f>
        <v/>
      </c>
      <c r="NK5">
        <f>BDS("WAB US Equity","SUPPLY_CHAIN_CUSTOMERS_FULL_DATA")</f>
        <v/>
      </c>
      <c r="OA5">
        <f>BDS("BVS US Equity","SUPPLY_CHAIN_SUPPLIERS_FULL_DATA")</f>
        <v/>
      </c>
      <c r="OO5">
        <f>BDS("BVS US Equity","SUPPLY_CHAIN_CUSTOMERS_FULL_DATA")</f>
        <v/>
      </c>
      <c r="PE5">
        <f>BDS("2207158D US Equity","SUPPLY_CHAIN_SUPPLIERS_FULL_DATA")</f>
        <v/>
      </c>
      <c r="PS5">
        <f>BDS("2207158D US Equity","SUPPLY_CHAIN_CUSTOMERS_FULL_DATA")</f>
        <v/>
      </c>
      <c r="QI5">
        <f>BDS("GE US Equity","SUPPLY_CHAIN_SUPPLIERS_FULL_DATA")</f>
        <v/>
      </c>
      <c r="QW5">
        <f>BDS("GE US Equity","SUPPLY_CHAIN_CUSTOMERS_FULL_DATA")</f>
        <v/>
      </c>
      <c r="RM5">
        <f>BDS("GD US Equity","SUPPLY_CHAIN_SUPPLIERS_FULL_DATA")</f>
        <v/>
      </c>
      <c r="SA5">
        <f>BDS("GD US Equity","SUPPLY_CHAIN_CUSTOMERS_FULL_DATA")</f>
        <v/>
      </c>
      <c r="SQ5">
        <f>BDS("NCC US Equity","SUPPLY_CHAIN_SUPPLIERS_FULL_DATA")</f>
        <v/>
      </c>
      <c r="TE5">
        <f>BDS("NCC US Equity","SUPPLY_CHAIN_CUSTOMERS_FULL_DATA")</f>
        <v/>
      </c>
      <c r="TU5">
        <f>BDS("GVA US Equity","SUPPLY_CHAIN_SUPPLIERS_FULL_DATA")</f>
        <v/>
      </c>
      <c r="UI5">
        <f>BDS("GVA US Equity","SUPPLY_CHAIN_CUSTOMERS_FULL_DATA")</f>
        <v/>
      </c>
      <c r="UY5">
        <f>BDS("KPSQ US Equity","SUPPLY_CHAIN_SUPPLIERS_FULL_DATA")</f>
        <v/>
      </c>
      <c r="VM5">
        <f>BDS("KPSQ US Equity","SUPPLY_CHAIN_CUSTOMERS_FULL_DATA")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1901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1902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1903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1904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1905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1906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1907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1908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1909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1910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1911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1912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1913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1914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1915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1916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1917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1918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1919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1920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HON US Equity</t>
        </is>
      </c>
      <c r="AE2" s="3" t="inlineStr">
        <is>
          <t>AMPY US Equity</t>
        </is>
      </c>
      <c r="BI2" s="3" t="inlineStr">
        <is>
          <t>USWB US Equity</t>
        </is>
      </c>
      <c r="CM2" s="3" t="inlineStr">
        <is>
          <t>SUG US Equity</t>
        </is>
      </c>
      <c r="DQ2" s="3" t="inlineStr">
        <is>
          <t>ILMN US Equity</t>
        </is>
      </c>
      <c r="EU2" s="3" t="inlineStr">
        <is>
          <t>DCOM US Equity</t>
        </is>
      </c>
      <c r="FY2" s="3" t="inlineStr">
        <is>
          <t>DGIT US Equity</t>
        </is>
      </c>
      <c r="HC2" s="3" t="inlineStr">
        <is>
          <t>PBCT US Equity</t>
        </is>
      </c>
      <c r="IG2" s="3" t="inlineStr">
        <is>
          <t>JMXIE US Equity</t>
        </is>
      </c>
      <c r="JK2" s="3" t="inlineStr">
        <is>
          <t>SNPS US Equity</t>
        </is>
      </c>
      <c r="KO2" s="3" t="inlineStr">
        <is>
          <t>ASB US Equity</t>
        </is>
      </c>
      <c r="LS2" s="3" t="inlineStr">
        <is>
          <t>ORCL US Equity</t>
        </is>
      </c>
      <c r="MW2" s="3" t="inlineStr">
        <is>
          <t>FNB US Equity</t>
        </is>
      </c>
      <c r="OA2" s="3" t="inlineStr">
        <is>
          <t>1528159D US Equity</t>
        </is>
      </c>
      <c r="PE2" s="3" t="inlineStr">
        <is>
          <t>OCFC US Equity</t>
        </is>
      </c>
      <c r="QI2" s="3" t="inlineStr">
        <is>
          <t>ISIL US Equity</t>
        </is>
      </c>
      <c r="RM2" s="3" t="inlineStr">
        <is>
          <t>838852Q US Equity</t>
        </is>
      </c>
      <c r="SQ2" s="3" t="inlineStr">
        <is>
          <t>MCK US Equity</t>
        </is>
      </c>
      <c r="TU2" s="3" t="inlineStr">
        <is>
          <t>GILD US Equity</t>
        </is>
      </c>
      <c r="UY2" s="3" t="inlineStr">
        <is>
          <t>PFC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BDS("HON US Equity","SUPPLY_CHAIN_SUPPLIERS_FULL_DATA")</f>
        <v/>
      </c>
      <c r="O5">
        <f>BDS("HON US Equity","SUPPLY_CHAIN_CUSTOMERS_FULL_DATA")</f>
        <v/>
      </c>
      <c r="AE5">
        <f>BDS("AMPY US Equity","SUPPLY_CHAIN_SUPPLIERS_FULL_DATA")</f>
        <v/>
      </c>
      <c r="AS5">
        <f>BDS("AMPY US Equity","SUPPLY_CHAIN_CUSTOMERS_FULL_DATA")</f>
        <v/>
      </c>
      <c r="BI5">
        <f>BDS("USWB US Equity","SUPPLY_CHAIN_SUPPLIERS_FULL_DATA")</f>
        <v/>
      </c>
      <c r="BW5">
        <f>BDS("USWB US Equity","SUPPLY_CHAIN_CUSTOMERS_FULL_DATA")</f>
        <v/>
      </c>
      <c r="CM5">
        <f>BDS("SUG US Equity","SUPPLY_CHAIN_SUPPLIERS_FULL_DATA")</f>
        <v/>
      </c>
      <c r="DA5">
        <f>BDS("SUG US Equity","SUPPLY_CHAIN_CUSTOMERS_FULL_DATA")</f>
        <v/>
      </c>
      <c r="DQ5">
        <f>BDS("ILMN US Equity","SUPPLY_CHAIN_SUPPLIERS_FULL_DATA")</f>
        <v/>
      </c>
      <c r="EE5">
        <f>BDS("ILMN US Equity","SUPPLY_CHAIN_CUSTOMERS_FULL_DATA")</f>
        <v/>
      </c>
      <c r="EU5">
        <f>BDS("DCOM US Equity","SUPPLY_CHAIN_SUPPLIERS_FULL_DATA")</f>
        <v/>
      </c>
      <c r="FI5">
        <f>BDS("DCOM US Equity","SUPPLY_CHAIN_CUSTOMERS_FULL_DATA")</f>
        <v/>
      </c>
      <c r="FY5">
        <f>BDS("DGIT US Equity","SUPPLY_CHAIN_SUPPLIERS_FULL_DATA")</f>
        <v/>
      </c>
      <c r="GM5">
        <f>BDS("DGIT US Equity","SUPPLY_CHAIN_CUSTOMERS_FULL_DATA")</f>
        <v/>
      </c>
      <c r="HC5">
        <f>BDS("PBCT US Equity","SUPPLY_CHAIN_SUPPLIERS_FULL_DATA")</f>
        <v/>
      </c>
      <c r="HQ5">
        <f>BDS("PBCT US Equity","SUPPLY_CHAIN_CUSTOMERS_FULL_DATA")</f>
        <v/>
      </c>
      <c r="IG5">
        <f>BDS("JMXIE US Equity","SUPPLY_CHAIN_SUPPLIERS_FULL_DATA")</f>
        <v/>
      </c>
      <c r="IU5">
        <f>BDS("JMXIE US Equity","SUPPLY_CHAIN_CUSTOMERS_FULL_DATA")</f>
        <v/>
      </c>
      <c r="JK5">
        <f>BDS("SNPS US Equity","SUPPLY_CHAIN_SUPPLIERS_FULL_DATA")</f>
        <v/>
      </c>
      <c r="JY5">
        <f>BDS("SNPS US Equity","SUPPLY_CHAIN_CUSTOMERS_FULL_DATA")</f>
        <v/>
      </c>
      <c r="KO5">
        <f>BDS("ASB US Equity","SUPPLY_CHAIN_SUPPLIERS_FULL_DATA")</f>
        <v/>
      </c>
      <c r="LC5">
        <f>BDS("ASB US Equity","SUPPLY_CHAIN_CUSTOMERS_FULL_DATA")</f>
        <v/>
      </c>
      <c r="LS5">
        <f>BDS("ORCL US Equity","SUPPLY_CHAIN_SUPPLIERS_FULL_DATA")</f>
        <v/>
      </c>
      <c r="MG5">
        <f>BDS("ORCL US Equity","SUPPLY_CHAIN_CUSTOMERS_FULL_DATA")</f>
        <v/>
      </c>
      <c r="MW5">
        <f>BDS("FNB US Equity","SUPPLY_CHAIN_SUPPLIERS_FULL_DATA")</f>
        <v/>
      </c>
      <c r="NK5">
        <f>BDS("FNB US Equity","SUPPLY_CHAIN_CUSTOMERS_FULL_DATA")</f>
        <v/>
      </c>
      <c r="OA5">
        <f>BDS("1528159D US Equity","SUPPLY_CHAIN_SUPPLIERS_FULL_DATA")</f>
        <v/>
      </c>
      <c r="OO5">
        <f>BDS("1528159D US Equity","SUPPLY_CHAIN_CUSTOMERS_FULL_DATA")</f>
        <v/>
      </c>
      <c r="PE5">
        <f>BDS("OCFC US Equity","SUPPLY_CHAIN_SUPPLIERS_FULL_DATA")</f>
        <v/>
      </c>
      <c r="PS5">
        <f>BDS("OCFC US Equity","SUPPLY_CHAIN_CUSTOMERS_FULL_DATA")</f>
        <v/>
      </c>
      <c r="QI5">
        <f>BDS("ISIL US Equity","SUPPLY_CHAIN_SUPPLIERS_FULL_DATA")</f>
        <v/>
      </c>
      <c r="QW5">
        <f>BDS("ISIL US Equity","SUPPLY_CHAIN_CUSTOMERS_FULL_DATA")</f>
        <v/>
      </c>
      <c r="RM5">
        <f>BDS("838852Q US Equity","SUPPLY_CHAIN_SUPPLIERS_FULL_DATA")</f>
        <v/>
      </c>
      <c r="SA5">
        <f>BDS("838852Q US Equity","SUPPLY_CHAIN_CUSTOMERS_FULL_DATA")</f>
        <v/>
      </c>
      <c r="SQ5">
        <f>BDS("MCK US Equity","SUPPLY_CHAIN_SUPPLIERS_FULL_DATA")</f>
        <v/>
      </c>
      <c r="TE5">
        <f>BDS("MCK US Equity","SUPPLY_CHAIN_CUSTOMERS_FULL_DATA")</f>
        <v/>
      </c>
      <c r="TU5">
        <f>BDS("GILD US Equity","SUPPLY_CHAIN_SUPPLIERS_FULL_DATA")</f>
        <v/>
      </c>
      <c r="UI5">
        <f>BDS("GILD US Equity","SUPPLY_CHAIN_CUSTOMERS_FULL_DATA")</f>
        <v/>
      </c>
      <c r="UY5">
        <f>BDS("PFC US Equity","SUPPLY_CHAIN_SUPPLIERS_FULL_DATA")</f>
        <v/>
      </c>
      <c r="VM5">
        <f>BDS("PFC US Equity","SUPPLY_CHAIN_CUSTOMERS_FULL_DATA")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1921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1922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1923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1924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1925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1926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1927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1928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1929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1930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1931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1932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1933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1934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1935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1936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1937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1938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1939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1940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MDU US Equity</t>
        </is>
      </c>
      <c r="AE2" s="3" t="inlineStr">
        <is>
          <t>CTAS US Equity</t>
        </is>
      </c>
      <c r="BI2" s="3" t="inlineStr">
        <is>
          <t>TXT US Equity</t>
        </is>
      </c>
      <c r="CM2" s="3" t="inlineStr">
        <is>
          <t>DRRAQ US Equity</t>
        </is>
      </c>
      <c r="DQ2" s="3" t="inlineStr">
        <is>
          <t>HPQ US Equity</t>
        </is>
      </c>
      <c r="EU2" s="3" t="inlineStr">
        <is>
          <t>9990822D US Equity</t>
        </is>
      </c>
      <c r="FY2" s="3" t="inlineStr">
        <is>
          <t>3437127Q US Equity</t>
        </is>
      </c>
      <c r="HC2" s="3" t="inlineStr">
        <is>
          <t>GKOS US Equity</t>
        </is>
      </c>
      <c r="IG2" s="3" t="inlineStr">
        <is>
          <t>SEBL US Equity</t>
        </is>
      </c>
      <c r="JK2" s="3" t="inlineStr">
        <is>
          <t>DRS US Equity</t>
        </is>
      </c>
      <c r="KO2" s="3" t="inlineStr">
        <is>
          <t>1041267D US Equity</t>
        </is>
      </c>
      <c r="LS2" s="3" t="inlineStr">
        <is>
          <t>NPBC US Equity</t>
        </is>
      </c>
      <c r="MW2" s="3" t="inlineStr">
        <is>
          <t>1556464D US Equity</t>
        </is>
      </c>
      <c r="OA2" s="3" t="inlineStr">
        <is>
          <t>ONB US Equity</t>
        </is>
      </c>
      <c r="PE2" s="3" t="inlineStr">
        <is>
          <t>1255459D US Equity</t>
        </is>
      </c>
      <c r="QI2" s="3" t="inlineStr">
        <is>
          <t>JNY US Equity</t>
        </is>
      </c>
      <c r="RM2" s="3" t="inlineStr">
        <is>
          <t>COLB US Equity</t>
        </is>
      </c>
      <c r="SQ2" s="3" t="inlineStr">
        <is>
          <t>OCSL US Equity</t>
        </is>
      </c>
      <c r="TU2" s="3" t="inlineStr">
        <is>
          <t>1920486D US Equity</t>
        </is>
      </c>
      <c r="UY2" s="3" t="inlineStr">
        <is>
          <t>SCHW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BDS("MDU US Equity","SUPPLY_CHAIN_SUPPLIERS_FULL_DATA")</f>
        <v/>
      </c>
      <c r="O5">
        <f>BDS("MDU US Equity","SUPPLY_CHAIN_CUSTOMERS_FULL_DATA")</f>
        <v/>
      </c>
      <c r="AE5">
        <f>BDS("CTAS US Equity","SUPPLY_CHAIN_SUPPLIERS_FULL_DATA")</f>
        <v/>
      </c>
      <c r="AS5">
        <f>BDS("CTAS US Equity","SUPPLY_CHAIN_CUSTOMERS_FULL_DATA")</f>
        <v/>
      </c>
      <c r="BI5">
        <f>BDS("TXT US Equity","SUPPLY_CHAIN_SUPPLIERS_FULL_DATA")</f>
        <v/>
      </c>
      <c r="BW5">
        <f>BDS("TXT US Equity","SUPPLY_CHAIN_CUSTOMERS_FULL_DATA")</f>
        <v/>
      </c>
      <c r="CM5">
        <f>BDS("DRRAQ US Equity","SUPPLY_CHAIN_SUPPLIERS_FULL_DATA")</f>
        <v/>
      </c>
      <c r="DA5">
        <f>BDS("DRRAQ US Equity","SUPPLY_CHAIN_CUSTOMERS_FULL_DATA")</f>
        <v/>
      </c>
      <c r="DQ5">
        <f>BDS("HPQ US Equity","SUPPLY_CHAIN_SUPPLIERS_FULL_DATA")</f>
        <v/>
      </c>
      <c r="EE5">
        <f>BDS("HPQ US Equity","SUPPLY_CHAIN_CUSTOMERS_FULL_DATA")</f>
        <v/>
      </c>
      <c r="EU5">
        <f>BDS("9990822D US Equity","SUPPLY_CHAIN_SUPPLIERS_FULL_DATA")</f>
        <v/>
      </c>
      <c r="FI5">
        <f>BDS("9990822D US Equity","SUPPLY_CHAIN_CUSTOMERS_FULL_DATA")</f>
        <v/>
      </c>
      <c r="FY5">
        <f>BDS("3437127Q US Equity","SUPPLY_CHAIN_SUPPLIERS_FULL_DATA")</f>
        <v/>
      </c>
      <c r="GM5">
        <f>BDS("3437127Q US Equity","SUPPLY_CHAIN_CUSTOMERS_FULL_DATA")</f>
        <v/>
      </c>
      <c r="HC5">
        <f>BDS("GKOS US Equity","SUPPLY_CHAIN_SUPPLIERS_FULL_DATA")</f>
        <v/>
      </c>
      <c r="HQ5">
        <f>BDS("GKOS US Equity","SUPPLY_CHAIN_CUSTOMERS_FULL_DATA")</f>
        <v/>
      </c>
      <c r="IG5">
        <f>BDS("SEBL US Equity","SUPPLY_CHAIN_SUPPLIERS_FULL_DATA")</f>
        <v/>
      </c>
      <c r="IU5">
        <f>BDS("SEBL US Equity","SUPPLY_CHAIN_CUSTOMERS_FULL_DATA")</f>
        <v/>
      </c>
      <c r="JK5">
        <f>BDS("DRS US Equity","SUPPLY_CHAIN_SUPPLIERS_FULL_DATA")</f>
        <v/>
      </c>
      <c r="JY5">
        <f>BDS("DRS US Equity","SUPPLY_CHAIN_CUSTOMERS_FULL_DATA")</f>
        <v/>
      </c>
      <c r="KO5">
        <f>BDS("1041267D US Equity","SUPPLY_CHAIN_SUPPLIERS_FULL_DATA")</f>
        <v/>
      </c>
      <c r="LC5">
        <f>BDS("1041267D US Equity","SUPPLY_CHAIN_CUSTOMERS_FULL_DATA")</f>
        <v/>
      </c>
      <c r="LS5">
        <f>BDS("NPBC US Equity","SUPPLY_CHAIN_SUPPLIERS_FULL_DATA")</f>
        <v/>
      </c>
      <c r="MG5">
        <f>BDS("NPBC US Equity","SUPPLY_CHAIN_CUSTOMERS_FULL_DATA")</f>
        <v/>
      </c>
      <c r="MW5">
        <f>BDS("1556464D US Equity","SUPPLY_CHAIN_SUPPLIERS_FULL_DATA")</f>
        <v/>
      </c>
      <c r="NK5">
        <f>BDS("1556464D US Equity","SUPPLY_CHAIN_CUSTOMERS_FULL_DATA")</f>
        <v/>
      </c>
      <c r="OA5">
        <f>BDS("ONB US Equity","SUPPLY_CHAIN_SUPPLIERS_FULL_DATA")</f>
        <v/>
      </c>
      <c r="OO5">
        <f>BDS("ONB US Equity","SUPPLY_CHAIN_CUSTOMERS_FULL_DATA")</f>
        <v/>
      </c>
      <c r="PE5">
        <f>BDS("1255459D US Equity","SUPPLY_CHAIN_SUPPLIERS_FULL_DATA")</f>
        <v/>
      </c>
      <c r="PS5">
        <f>BDS("1255459D US Equity","SUPPLY_CHAIN_CUSTOMERS_FULL_DATA")</f>
        <v/>
      </c>
      <c r="QI5">
        <f>BDS("JNY US Equity","SUPPLY_CHAIN_SUPPLIERS_FULL_DATA")</f>
        <v/>
      </c>
      <c r="QW5">
        <f>BDS("JNY US Equity","SUPPLY_CHAIN_CUSTOMERS_FULL_DATA")</f>
        <v/>
      </c>
      <c r="RM5">
        <f>BDS("COLB US Equity","SUPPLY_CHAIN_SUPPLIERS_FULL_DATA")</f>
        <v/>
      </c>
      <c r="SA5">
        <f>BDS("COLB US Equity","SUPPLY_CHAIN_CUSTOMERS_FULL_DATA")</f>
        <v/>
      </c>
      <c r="SQ5">
        <f>BDS("OCSL US Equity","SUPPLY_CHAIN_SUPPLIERS_FULL_DATA")</f>
        <v/>
      </c>
      <c r="TE5">
        <f>BDS("OCSL US Equity","SUPPLY_CHAIN_CUSTOMERS_FULL_DATA")</f>
        <v/>
      </c>
      <c r="TU5">
        <f>BDS("1920486D US Equity","SUPPLY_CHAIN_SUPPLIERS_FULL_DATA")</f>
        <v/>
      </c>
      <c r="UI5">
        <f>BDS("1920486D US Equity","SUPPLY_CHAIN_CUSTOMERS_FULL_DATA")</f>
        <v/>
      </c>
      <c r="UY5">
        <f>BDS("SCHW US Equity","SUPPLY_CHAIN_SUPPLIERS_FULL_DATA")</f>
        <v/>
      </c>
      <c r="VM5">
        <f>BDS("SCHW US Equity","SUPPLY_CHAIN_CUSTOMERS_FULL_DATA")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1941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1942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1943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1944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1945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1946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1947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1948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1949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1950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1951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1952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1953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1954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1955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1956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1957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1958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1959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1960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TNB US Equity</t>
        </is>
      </c>
      <c r="AE2" s="3" t="inlineStr">
        <is>
          <t>nan Equity</t>
        </is>
      </c>
      <c r="BI2" s="3" t="inlineStr">
        <is>
          <t>nan Equity</t>
        </is>
      </c>
      <c r="CM2" s="3" t="inlineStr">
        <is>
          <t>CADE US Equity</t>
        </is>
      </c>
      <c r="DQ2" s="3" t="inlineStr">
        <is>
          <t>TLB US Equity</t>
        </is>
      </c>
      <c r="EU2" s="3" t="inlineStr">
        <is>
          <t>SO US Equity</t>
        </is>
      </c>
      <c r="FY2" s="3" t="inlineStr">
        <is>
          <t>DHR US Equity</t>
        </is>
      </c>
      <c r="HC2" s="3" t="inlineStr">
        <is>
          <t>CYBS US Equity</t>
        </is>
      </c>
      <c r="IG2" s="3" t="inlineStr">
        <is>
          <t>PHS US Equity</t>
        </is>
      </c>
      <c r="JK2" s="3" t="inlineStr">
        <is>
          <t>GZBX US Equity</t>
        </is>
      </c>
      <c r="KO2" s="3" t="inlineStr">
        <is>
          <t>SASR US Equity</t>
        </is>
      </c>
      <c r="LS2" s="3" t="inlineStr">
        <is>
          <t>OSGIQ US Equity</t>
        </is>
      </c>
      <c r="MW2" s="3" t="inlineStr">
        <is>
          <t>WTRG US Equity</t>
        </is>
      </c>
      <c r="OA2" s="3" t="inlineStr">
        <is>
          <t>CVX US Equity</t>
        </is>
      </c>
      <c r="PE2" s="3" t="inlineStr">
        <is>
          <t>RRC US Equity</t>
        </is>
      </c>
      <c r="QI2" s="3" t="inlineStr">
        <is>
          <t>1519128D US Equity</t>
        </is>
      </c>
      <c r="RM2" s="3" t="inlineStr">
        <is>
          <t>TALO US Equity</t>
        </is>
      </c>
      <c r="SQ2" s="3" t="inlineStr">
        <is>
          <t>GE US Equity</t>
        </is>
      </c>
      <c r="TU2" s="3" t="inlineStr">
        <is>
          <t>TEX US Equity</t>
        </is>
      </c>
      <c r="UY2" s="3" t="inlineStr">
        <is>
          <t>WTTR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BDS("TNB US Equity","SUPPLY_CHAIN_SUPPLIERS_FULL_DATA")</f>
        <v/>
      </c>
      <c r="O5">
        <f>BDS("TNB US Equity","SUPPLY_CHAIN_CUSTOMERS_FULL_DATA")</f>
        <v/>
      </c>
      <c r="AE5">
        <f>BDS("nan Equity","SUPPLY_CHAIN_SUPPLIERS_FULL_DATA")</f>
        <v/>
      </c>
      <c r="AS5">
        <f>BDS("nan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BDS("CADE US Equity","SUPPLY_CHAIN_SUPPLIERS_FULL_DATA")</f>
        <v/>
      </c>
      <c r="DA5">
        <f>BDS("CADE US Equity","SUPPLY_CHAIN_CUSTOMERS_FULL_DATA")</f>
        <v/>
      </c>
      <c r="DQ5">
        <f>BDS("TLB US Equity","SUPPLY_CHAIN_SUPPLIERS_FULL_DATA")</f>
        <v/>
      </c>
      <c r="EE5">
        <f>BDS("TLB US Equity","SUPPLY_CHAIN_CUSTOMERS_FULL_DATA")</f>
        <v/>
      </c>
      <c r="EU5">
        <f>BDS("SO US Equity","SUPPLY_CHAIN_SUPPLIERS_FULL_DATA")</f>
        <v/>
      </c>
      <c r="FI5">
        <f>BDS("SO US Equity","SUPPLY_CHAIN_CUSTOMERS_FULL_DATA")</f>
        <v/>
      </c>
      <c r="FY5">
        <f>BDS("DHR US Equity","SUPPLY_CHAIN_SUPPLIERS_FULL_DATA")</f>
        <v/>
      </c>
      <c r="GM5">
        <f>BDS("DHR US Equity","SUPPLY_CHAIN_CUSTOMERS_FULL_DATA")</f>
        <v/>
      </c>
      <c r="HC5">
        <f>BDS("CYBS US Equity","SUPPLY_CHAIN_SUPPLIERS_FULL_DATA")</f>
        <v/>
      </c>
      <c r="HQ5">
        <f>BDS("CYBS US Equity","SUPPLY_CHAIN_CUSTOMERS_FULL_DATA")</f>
        <v/>
      </c>
      <c r="IG5">
        <f>BDS("PHS US Equity","SUPPLY_CHAIN_SUPPLIERS_FULL_DATA")</f>
        <v/>
      </c>
      <c r="IU5">
        <f>BDS("PHS US Equity","SUPPLY_CHAIN_CUSTOMERS_FULL_DATA")</f>
        <v/>
      </c>
      <c r="JK5">
        <f>BDS("GZBX US Equity","SUPPLY_CHAIN_SUPPLIERS_FULL_DATA")</f>
        <v/>
      </c>
      <c r="JY5">
        <f>BDS("GZBX US Equity","SUPPLY_CHAIN_CUSTOMERS_FULL_DATA")</f>
        <v/>
      </c>
      <c r="KO5">
        <f>BDS("SASR US Equity","SUPPLY_CHAIN_SUPPLIERS_FULL_DATA")</f>
        <v/>
      </c>
      <c r="LC5">
        <f>BDS("SASR US Equity","SUPPLY_CHAIN_CUSTOMERS_FULL_DATA")</f>
        <v/>
      </c>
      <c r="LS5">
        <f>BDS("OSGIQ US Equity","SUPPLY_CHAIN_SUPPLIERS_FULL_DATA")</f>
        <v/>
      </c>
      <c r="MG5">
        <f>BDS("OSGIQ US Equity","SUPPLY_CHAIN_CUSTOMERS_FULL_DATA")</f>
        <v/>
      </c>
      <c r="MW5">
        <f>BDS("WTRG US Equity","SUPPLY_CHAIN_SUPPLIERS_FULL_DATA")</f>
        <v/>
      </c>
      <c r="NK5">
        <f>BDS("WTRG US Equity","SUPPLY_CHAIN_CUSTOMERS_FULL_DATA")</f>
        <v/>
      </c>
      <c r="OA5">
        <f>BDS("CVX US Equity","SUPPLY_CHAIN_SUPPLIERS_FULL_DATA")</f>
        <v/>
      </c>
      <c r="OO5">
        <f>BDS("CVX US Equity","SUPPLY_CHAIN_CUSTOMERS_FULL_DATA")</f>
        <v/>
      </c>
      <c r="PE5">
        <f>BDS("RRC US Equity","SUPPLY_CHAIN_SUPPLIERS_FULL_DATA")</f>
        <v/>
      </c>
      <c r="PS5">
        <f>BDS("RRC US Equity","SUPPLY_CHAIN_CUSTOMERS_FULL_DATA")</f>
        <v/>
      </c>
      <c r="QI5">
        <f>BDS("1519128D US Equity","SUPPLY_CHAIN_SUPPLIERS_FULL_DATA")</f>
        <v/>
      </c>
      <c r="QW5">
        <f>BDS("1519128D US Equity","SUPPLY_CHAIN_CUSTOMERS_FULL_DATA")</f>
        <v/>
      </c>
      <c r="RM5">
        <f>BDS("TALO US Equity","SUPPLY_CHAIN_SUPPLIERS_FULL_DATA")</f>
        <v/>
      </c>
      <c r="SA5">
        <f>BDS("TALO US Equity","SUPPLY_CHAIN_CUSTOMERS_FULL_DATA")</f>
        <v/>
      </c>
      <c r="SQ5">
        <f>BDS("GE US Equity","SUPPLY_CHAIN_SUPPLIERS_FULL_DATA")</f>
        <v/>
      </c>
      <c r="TE5">
        <f>BDS("GE US Equity","SUPPLY_CHAIN_CUSTOMERS_FULL_DATA")</f>
        <v/>
      </c>
      <c r="TU5">
        <f>BDS("TEX US Equity","SUPPLY_CHAIN_SUPPLIERS_FULL_DATA")</f>
        <v/>
      </c>
      <c r="UI5">
        <f>BDS("TEX US Equity","SUPPLY_CHAIN_CUSTOMERS_FULL_DATA")</f>
        <v/>
      </c>
      <c r="UY5">
        <f>BDS("WTTR US Equity","SUPPLY_CHAIN_SUPPLIERS_FULL_DATA")</f>
        <v/>
      </c>
      <c r="VM5">
        <f>BDS("WTTR US Equity","SUPPLY_CHAIN_CUSTOMERS_FULL_DATA")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1961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1962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1963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1964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1965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1966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1967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1968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1969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1970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1971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1972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1973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1974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1975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1976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1977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1978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1979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1980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TFC US Equity</t>
        </is>
      </c>
      <c r="AE2" s="3" t="inlineStr">
        <is>
          <t>ZION US Equity</t>
        </is>
      </c>
      <c r="BI2" s="3" t="inlineStr">
        <is>
          <t>RRD US Equity</t>
        </is>
      </c>
      <c r="CM2" s="3" t="inlineStr">
        <is>
          <t>ABBV US Equity</t>
        </is>
      </c>
      <c r="DQ2" s="3" t="inlineStr">
        <is>
          <t>0848680D US Equity</t>
        </is>
      </c>
      <c r="EU2" s="3" t="inlineStr">
        <is>
          <t>3493202Q US Equity</t>
        </is>
      </c>
      <c r="FY2" s="3" t="inlineStr">
        <is>
          <t>NIC US Equity</t>
        </is>
      </c>
      <c r="HC2" s="3" t="inlineStr">
        <is>
          <t>FBRT US Equity</t>
        </is>
      </c>
      <c r="IG2" s="3" t="inlineStr">
        <is>
          <t>FGHLQ US Equity</t>
        </is>
      </c>
      <c r="JK2" s="3" t="inlineStr">
        <is>
          <t>UBSI US Equity</t>
        </is>
      </c>
      <c r="KO2" s="3" t="inlineStr">
        <is>
          <t>CHZ US Equity</t>
        </is>
      </c>
      <c r="LS2" s="3" t="inlineStr">
        <is>
          <t>2326248D US Equity</t>
        </is>
      </c>
      <c r="MW2" s="3" t="inlineStr">
        <is>
          <t>YUM US Equity</t>
        </is>
      </c>
      <c r="OA2" s="3" t="inlineStr">
        <is>
          <t>9990822D US Equity</t>
        </is>
      </c>
      <c r="PE2" s="3" t="inlineStr">
        <is>
          <t>LNWO US Equity</t>
        </is>
      </c>
      <c r="QI2" s="3" t="inlineStr">
        <is>
          <t>1504558D US Equity</t>
        </is>
      </c>
      <c r="RM2" s="3" t="inlineStr">
        <is>
          <t>MRO US Equity</t>
        </is>
      </c>
      <c r="SQ2" s="3" t="inlineStr">
        <is>
          <t>CATY US Equity</t>
        </is>
      </c>
      <c r="TU2" s="3" t="inlineStr">
        <is>
          <t>MXL US Equity</t>
        </is>
      </c>
      <c r="UY2" s="3" t="inlineStr">
        <is>
          <t>WBA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BDS("TFC US Equity","SUPPLY_CHAIN_SUPPLIERS_FULL_DATA")</f>
        <v/>
      </c>
      <c r="O5">
        <f>BDS("TFC US Equity","SUPPLY_CHAIN_CUSTOMERS_FULL_DATA")</f>
        <v/>
      </c>
      <c r="AE5">
        <f>BDS("ZION US Equity","SUPPLY_CHAIN_SUPPLIERS_FULL_DATA")</f>
        <v/>
      </c>
      <c r="AS5">
        <f>BDS("ZION US Equity","SUPPLY_CHAIN_CUSTOMERS_FULL_DATA")</f>
        <v/>
      </c>
      <c r="BI5">
        <f>BDS("RRD US Equity","SUPPLY_CHAIN_SUPPLIERS_FULL_DATA")</f>
        <v/>
      </c>
      <c r="BW5">
        <f>BDS("RRD US Equity","SUPPLY_CHAIN_CUSTOMERS_FULL_DATA")</f>
        <v/>
      </c>
      <c r="CM5">
        <f>BDS("ABBV US Equity","SUPPLY_CHAIN_SUPPLIERS_FULL_DATA")</f>
        <v/>
      </c>
      <c r="DA5">
        <f>BDS("ABBV US Equity","SUPPLY_CHAIN_CUSTOMERS_FULL_DATA")</f>
        <v/>
      </c>
      <c r="DQ5">
        <f>BDS("0848680D US Equity","SUPPLY_CHAIN_SUPPLIERS_FULL_DATA")</f>
        <v/>
      </c>
      <c r="EE5">
        <f>BDS("0848680D US Equity","SUPPLY_CHAIN_CUSTOMERS_FULL_DATA")</f>
        <v/>
      </c>
      <c r="EU5">
        <f>BDS("3493202Q US Equity","SUPPLY_CHAIN_SUPPLIERS_FULL_DATA")</f>
        <v/>
      </c>
      <c r="FI5">
        <f>BDS("3493202Q US Equity","SUPPLY_CHAIN_CUSTOMERS_FULL_DATA")</f>
        <v/>
      </c>
      <c r="FY5">
        <f>BDS("NIC US Equity","SUPPLY_CHAIN_SUPPLIERS_FULL_DATA")</f>
        <v/>
      </c>
      <c r="GM5">
        <f>BDS("NIC US Equity","SUPPLY_CHAIN_CUSTOMERS_FULL_DATA")</f>
        <v/>
      </c>
      <c r="HC5">
        <f>BDS("FBRT US Equity","SUPPLY_CHAIN_SUPPLIERS_FULL_DATA")</f>
        <v/>
      </c>
      <c r="HQ5">
        <f>BDS("FBRT US Equity","SUPPLY_CHAIN_CUSTOMERS_FULL_DATA")</f>
        <v/>
      </c>
      <c r="IG5">
        <f>BDS("FGHLQ US Equity","SUPPLY_CHAIN_SUPPLIERS_FULL_DATA")</f>
        <v/>
      </c>
      <c r="IU5">
        <f>BDS("FGHLQ US Equity","SUPPLY_CHAIN_CUSTOMERS_FULL_DATA")</f>
        <v/>
      </c>
      <c r="JK5">
        <f>BDS("UBSI US Equity","SUPPLY_CHAIN_SUPPLIERS_FULL_DATA")</f>
        <v/>
      </c>
      <c r="JY5">
        <f>BDS("UBSI US Equity","SUPPLY_CHAIN_CUSTOMERS_FULL_DATA")</f>
        <v/>
      </c>
      <c r="KO5">
        <f>BDS("CHZ US Equity","SUPPLY_CHAIN_SUPPLIERS_FULL_DATA")</f>
        <v/>
      </c>
      <c r="LC5">
        <f>BDS("CHZ US Equity","SUPPLY_CHAIN_CUSTOMERS_FULL_DATA")</f>
        <v/>
      </c>
      <c r="LS5">
        <f>BDS("2326248D US Equity","SUPPLY_CHAIN_SUPPLIERS_FULL_DATA")</f>
        <v/>
      </c>
      <c r="MG5">
        <f>BDS("2326248D US Equity","SUPPLY_CHAIN_CUSTOMERS_FULL_DATA")</f>
        <v/>
      </c>
      <c r="MW5">
        <f>BDS("YUM US Equity","SUPPLY_CHAIN_SUPPLIERS_FULL_DATA")</f>
        <v/>
      </c>
      <c r="NK5">
        <f>BDS("YUM US Equity","SUPPLY_CHAIN_CUSTOMERS_FULL_DATA")</f>
        <v/>
      </c>
      <c r="OA5">
        <f>BDS("9990822D US Equity","SUPPLY_CHAIN_SUPPLIERS_FULL_DATA")</f>
        <v/>
      </c>
      <c r="OO5">
        <f>BDS("9990822D US Equity","SUPPLY_CHAIN_CUSTOMERS_FULL_DATA")</f>
        <v/>
      </c>
      <c r="PE5">
        <f>BDS("LNWO US Equity","SUPPLY_CHAIN_SUPPLIERS_FULL_DATA")</f>
        <v/>
      </c>
      <c r="PS5">
        <f>BDS("LNWO US Equity","SUPPLY_CHAIN_CUSTOMERS_FULL_DATA")</f>
        <v/>
      </c>
      <c r="QI5">
        <f>BDS("1504558D US Equity","SUPPLY_CHAIN_SUPPLIERS_FULL_DATA")</f>
        <v/>
      </c>
      <c r="QW5">
        <f>BDS("1504558D US Equity","SUPPLY_CHAIN_CUSTOMERS_FULL_DATA")</f>
        <v/>
      </c>
      <c r="RM5">
        <f>BDS("MRO US Equity","SUPPLY_CHAIN_SUPPLIERS_FULL_DATA")</f>
        <v/>
      </c>
      <c r="SA5">
        <f>BDS("MRO US Equity","SUPPLY_CHAIN_CUSTOMERS_FULL_DATA")</f>
        <v/>
      </c>
      <c r="SQ5">
        <f>BDS("CATY US Equity","SUPPLY_CHAIN_SUPPLIERS_FULL_DATA")</f>
        <v/>
      </c>
      <c r="TE5">
        <f>BDS("CATY US Equity","SUPPLY_CHAIN_CUSTOMERS_FULL_DATA")</f>
        <v/>
      </c>
      <c r="TU5">
        <f>BDS("MXL US Equity","SUPPLY_CHAIN_SUPPLIERS_FULL_DATA")</f>
        <v/>
      </c>
      <c r="UI5">
        <f>BDS("MXL US Equity","SUPPLY_CHAIN_CUSTOMERS_FULL_DATA")</f>
        <v/>
      </c>
      <c r="UY5">
        <f>BDS("WBA US Equity","SUPPLY_CHAIN_SUPPLIERS_FULL_DATA")</f>
        <v/>
      </c>
      <c r="VM5">
        <f>BDS("WBA US Equity","SUPPLY_CHAIN_CUSTOMERS_FULL_DATA")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1981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1982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1983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1984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1985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1986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1987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1988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1989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1990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1991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1992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1993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1994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1995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1996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1997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1998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1999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2000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INTC US Equity</t>
        </is>
      </c>
      <c r="AE2" s="3" t="inlineStr">
        <is>
          <t>CBST US Equity</t>
        </is>
      </c>
      <c r="BI2" s="3" t="inlineStr">
        <is>
          <t>ISBC US Equity</t>
        </is>
      </c>
      <c r="CM2" s="3" t="inlineStr">
        <is>
          <t>HPQ US Equity</t>
        </is>
      </c>
      <c r="DQ2" s="3" t="inlineStr">
        <is>
          <t>CNA US Equity</t>
        </is>
      </c>
      <c r="EU2" s="3" t="inlineStr">
        <is>
          <t>1885525D US Equity</t>
        </is>
      </c>
      <c r="FY2" s="3" t="inlineStr">
        <is>
          <t>AUB US Equity</t>
        </is>
      </c>
      <c r="HC2" s="3" t="inlineStr">
        <is>
          <t>ADBE US Equity</t>
        </is>
      </c>
      <c r="IG2" s="3" t="inlineStr">
        <is>
          <t>ENV US Equity</t>
        </is>
      </c>
      <c r="JK2" s="3" t="inlineStr">
        <is>
          <t>ENTG US Equity</t>
        </is>
      </c>
      <c r="KO2" s="3" t="inlineStr">
        <is>
          <t>IONS US Equity</t>
        </is>
      </c>
      <c r="LS2" s="3" t="inlineStr">
        <is>
          <t>DBI US Equity</t>
        </is>
      </c>
      <c r="MW2" s="3" t="inlineStr">
        <is>
          <t>LNTH US Equity</t>
        </is>
      </c>
      <c r="OA2" s="3" t="inlineStr">
        <is>
          <t>1448021D US Equity</t>
        </is>
      </c>
      <c r="PE2" s="3" t="inlineStr">
        <is>
          <t>nan Equity</t>
        </is>
      </c>
      <c r="QI2" s="3" t="inlineStr">
        <is>
          <t>ATHMQ US Equity</t>
        </is>
      </c>
      <c r="RM2" s="3" t="inlineStr">
        <is>
          <t>DCLK US Equity</t>
        </is>
      </c>
      <c r="SQ2" s="3" t="inlineStr">
        <is>
          <t>ADP US Equity</t>
        </is>
      </c>
      <c r="TU2" s="3" t="inlineStr">
        <is>
          <t>GRBEQ US Equity</t>
        </is>
      </c>
      <c r="UY2" s="3" t="inlineStr">
        <is>
          <t>TFC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BDS("INTC US Equity","SUPPLY_CHAIN_SUPPLIERS_FULL_DATA")</f>
        <v/>
      </c>
      <c r="O5">
        <f>BDS("INTC US Equity","SUPPLY_CHAIN_CUSTOMERS_FULL_DATA")</f>
        <v/>
      </c>
      <c r="AE5">
        <f>BDS("CBST US Equity","SUPPLY_CHAIN_SUPPLIERS_FULL_DATA")</f>
        <v/>
      </c>
      <c r="AS5">
        <f>BDS("CBST US Equity","SUPPLY_CHAIN_CUSTOMERS_FULL_DATA")</f>
        <v/>
      </c>
      <c r="BI5">
        <f>BDS("ISBC US Equity","SUPPLY_CHAIN_SUPPLIERS_FULL_DATA")</f>
        <v/>
      </c>
      <c r="BW5">
        <f>BDS("ISBC US Equity","SUPPLY_CHAIN_CUSTOMERS_FULL_DATA")</f>
        <v/>
      </c>
      <c r="CM5">
        <f>BDS("HPQ US Equity","SUPPLY_CHAIN_SUPPLIERS_FULL_DATA")</f>
        <v/>
      </c>
      <c r="DA5">
        <f>BDS("HPQ US Equity","SUPPLY_CHAIN_CUSTOMERS_FULL_DATA")</f>
        <v/>
      </c>
      <c r="DQ5">
        <f>BDS("CNA US Equity","SUPPLY_CHAIN_SUPPLIERS_FULL_DATA")</f>
        <v/>
      </c>
      <c r="EE5">
        <f>BDS("CNA US Equity","SUPPLY_CHAIN_CUSTOMERS_FULL_DATA")</f>
        <v/>
      </c>
      <c r="EU5">
        <f>BDS("1885525D US Equity","SUPPLY_CHAIN_SUPPLIERS_FULL_DATA")</f>
        <v/>
      </c>
      <c r="FI5">
        <f>BDS("1885525D US Equity","SUPPLY_CHAIN_CUSTOMERS_FULL_DATA")</f>
        <v/>
      </c>
      <c r="FY5">
        <f>BDS("AUB US Equity","SUPPLY_CHAIN_SUPPLIERS_FULL_DATA")</f>
        <v/>
      </c>
      <c r="GM5">
        <f>BDS("AUB US Equity","SUPPLY_CHAIN_CUSTOMERS_FULL_DATA")</f>
        <v/>
      </c>
      <c r="HC5">
        <f>BDS("ADBE US Equity","SUPPLY_CHAIN_SUPPLIERS_FULL_DATA")</f>
        <v/>
      </c>
      <c r="HQ5">
        <f>BDS("ADBE US Equity","SUPPLY_CHAIN_CUSTOMERS_FULL_DATA")</f>
        <v/>
      </c>
      <c r="IG5">
        <f>BDS("ENV US Equity","SUPPLY_CHAIN_SUPPLIERS_FULL_DATA")</f>
        <v/>
      </c>
      <c r="IU5">
        <f>BDS("ENV US Equity","SUPPLY_CHAIN_CUSTOMERS_FULL_DATA")</f>
        <v/>
      </c>
      <c r="JK5">
        <f>BDS("ENTG US Equity","SUPPLY_CHAIN_SUPPLIERS_FULL_DATA")</f>
        <v/>
      </c>
      <c r="JY5">
        <f>BDS("ENTG US Equity","SUPPLY_CHAIN_CUSTOMERS_FULL_DATA")</f>
        <v/>
      </c>
      <c r="KO5">
        <f>BDS("IONS US Equity","SUPPLY_CHAIN_SUPPLIERS_FULL_DATA")</f>
        <v/>
      </c>
      <c r="LC5">
        <f>BDS("IONS US Equity","SUPPLY_CHAIN_CUSTOMERS_FULL_DATA")</f>
        <v/>
      </c>
      <c r="LS5">
        <f>BDS("DBI US Equity","SUPPLY_CHAIN_SUPPLIERS_FULL_DATA")</f>
        <v/>
      </c>
      <c r="MG5">
        <f>BDS("DBI US Equity","SUPPLY_CHAIN_CUSTOMERS_FULL_DATA")</f>
        <v/>
      </c>
      <c r="MW5">
        <f>BDS("LNTH US Equity","SUPPLY_CHAIN_SUPPLIERS_FULL_DATA")</f>
        <v/>
      </c>
      <c r="NK5">
        <f>BDS("LNTH US Equity","SUPPLY_CHAIN_CUSTOMERS_FULL_DATA")</f>
        <v/>
      </c>
      <c r="OA5">
        <f>BDS("1448021D US Equity","SUPPLY_CHAIN_SUPPLIERS_FULL_DATA")</f>
        <v/>
      </c>
      <c r="OO5">
        <f>BDS("1448021D US Equity","SUPPLY_CHAIN_CUSTOMERS_FULL_DATA")</f>
        <v/>
      </c>
      <c r="PE5">
        <f>BDS("nan Equity","SUPPLY_CHAIN_SUPPLIERS_FULL_DATA")</f>
        <v/>
      </c>
      <c r="PS5">
        <f>BDS("nan Equity","SUPPLY_CHAIN_CUSTOMERS_FULL_DATA")</f>
        <v/>
      </c>
      <c r="QI5">
        <f>BDS("ATHMQ US Equity","SUPPLY_CHAIN_SUPPLIERS_FULL_DATA")</f>
        <v/>
      </c>
      <c r="QW5">
        <f>BDS("ATHMQ US Equity","SUPPLY_CHAIN_CUSTOMERS_FULL_DATA")</f>
        <v/>
      </c>
      <c r="RM5">
        <f>BDS("DCLK US Equity","SUPPLY_CHAIN_SUPPLIERS_FULL_DATA")</f>
        <v/>
      </c>
      <c r="SA5">
        <f>BDS("DCLK US Equity","SUPPLY_CHAIN_CUSTOMERS_FULL_DATA")</f>
        <v/>
      </c>
      <c r="SQ5">
        <f>BDS("ADP US Equity","SUPPLY_CHAIN_SUPPLIERS_FULL_DATA")</f>
        <v/>
      </c>
      <c r="TE5">
        <f>BDS("ADP US Equity","SUPPLY_CHAIN_CUSTOMERS_FULL_DATA")</f>
        <v/>
      </c>
      <c r="TU5">
        <f>BDS("GRBEQ US Equity","SUPPLY_CHAIN_SUPPLIERS_FULL_DATA")</f>
        <v/>
      </c>
      <c r="UI5">
        <f>BDS("GRBEQ US Equity","SUPPLY_CHAIN_CUSTOMERS_FULL_DATA")</f>
        <v/>
      </c>
      <c r="UY5">
        <f>BDS("TFC US Equity","SUPPLY_CHAIN_SUPPLIERS_FULL_DATA")</f>
        <v/>
      </c>
      <c r="VM5">
        <f>BDS("TFC US Equity","SUPPLY_CHAIN_CUSTOMERS_FULL_DATA")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2002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2003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2004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2005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2006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2007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2008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2009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2010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2011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2012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2013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2014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2015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2016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2017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2018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2019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2020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STCN US Equity</t>
        </is>
      </c>
      <c r="AE2" s="3" t="inlineStr">
        <is>
          <t>LMND US Equity</t>
        </is>
      </c>
      <c r="BI2" s="3" t="inlineStr">
        <is>
          <t>2725934Q US Equity</t>
        </is>
      </c>
      <c r="CM2" s="3" t="inlineStr">
        <is>
          <t>KODK US Equity</t>
        </is>
      </c>
      <c r="DQ2" s="3" t="inlineStr">
        <is>
          <t>EMR US Equity</t>
        </is>
      </c>
      <c r="EU2" s="3" t="inlineStr">
        <is>
          <t>DJ US Equity</t>
        </is>
      </c>
      <c r="FY2" s="3" t="inlineStr">
        <is>
          <t>ZD US Equity</t>
        </is>
      </c>
      <c r="HC2" s="3" t="inlineStr">
        <is>
          <t>CEPH US Equity</t>
        </is>
      </c>
      <c r="IG2" s="3" t="inlineStr">
        <is>
          <t>AMT US Equity</t>
        </is>
      </c>
      <c r="JK2" s="3" t="inlineStr">
        <is>
          <t>749001Q US Equity</t>
        </is>
      </c>
      <c r="KO2" s="3" t="inlineStr">
        <is>
          <t>ESMK US Equity</t>
        </is>
      </c>
      <c r="LS2" s="3" t="inlineStr">
        <is>
          <t>1702253D US Equity</t>
        </is>
      </c>
      <c r="MW2" s="3" t="inlineStr">
        <is>
          <t>PNC US Equity</t>
        </is>
      </c>
      <c r="OA2" s="3" t="inlineStr">
        <is>
          <t>OPK US Equity</t>
        </is>
      </c>
      <c r="PE2" s="3" t="inlineStr">
        <is>
          <t>CVOVQ US Equity</t>
        </is>
      </c>
      <c r="QI2" s="3" t="inlineStr">
        <is>
          <t>ROH US Equity</t>
        </is>
      </c>
      <c r="RM2" s="3" t="inlineStr">
        <is>
          <t>WBS US Equity</t>
        </is>
      </c>
      <c r="SQ2" s="3" t="inlineStr">
        <is>
          <t>nan Equity</t>
        </is>
      </c>
      <c r="TU2" s="3" t="inlineStr">
        <is>
          <t>CPF US Equity</t>
        </is>
      </c>
      <c r="UY2" s="3" t="inlineStr">
        <is>
          <t>EMR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BDS("STCN US Equity","SUPPLY_CHAIN_SUPPLIERS_FULL_DATA")</f>
        <v/>
      </c>
      <c r="O5">
        <f>BDS("STCN US Equity","SUPPLY_CHAIN_CUSTOMERS_FULL_DATA")</f>
        <v/>
      </c>
      <c r="AE5">
        <f>BDS("LMND US Equity","SUPPLY_CHAIN_SUPPLIERS_FULL_DATA")</f>
        <v/>
      </c>
      <c r="AS5">
        <f>BDS("LMND US Equity","SUPPLY_CHAIN_CUSTOMERS_FULL_DATA")</f>
        <v/>
      </c>
      <c r="BI5">
        <f>BDS("2725934Q US Equity","SUPPLY_CHAIN_SUPPLIERS_FULL_DATA")</f>
        <v/>
      </c>
      <c r="BW5">
        <f>BDS("2725934Q US Equity","SUPPLY_CHAIN_CUSTOMERS_FULL_DATA")</f>
        <v/>
      </c>
      <c r="CM5">
        <f>BDS("KODK US Equity","SUPPLY_CHAIN_SUPPLIERS_FULL_DATA")</f>
        <v/>
      </c>
      <c r="DA5">
        <f>BDS("KODK US Equity","SUPPLY_CHAIN_CUSTOMERS_FULL_DATA")</f>
        <v/>
      </c>
      <c r="DQ5">
        <f>BDS("EMR US Equity","SUPPLY_CHAIN_SUPPLIERS_FULL_DATA")</f>
        <v/>
      </c>
      <c r="EE5">
        <f>BDS("EMR US Equity","SUPPLY_CHAIN_CUSTOMERS_FULL_DATA")</f>
        <v/>
      </c>
      <c r="EU5">
        <f>BDS("DJ US Equity","SUPPLY_CHAIN_SUPPLIERS_FULL_DATA")</f>
        <v/>
      </c>
      <c r="FI5">
        <f>BDS("DJ US Equity","SUPPLY_CHAIN_CUSTOMERS_FULL_DATA")</f>
        <v/>
      </c>
      <c r="FY5">
        <f>BDS("ZD US Equity","SUPPLY_CHAIN_SUPPLIERS_FULL_DATA")</f>
        <v/>
      </c>
      <c r="GM5">
        <f>BDS("ZD US Equity","SUPPLY_CHAIN_CUSTOMERS_FULL_DATA")</f>
        <v/>
      </c>
      <c r="HC5">
        <f>BDS("CEPH US Equity","SUPPLY_CHAIN_SUPPLIERS_FULL_DATA")</f>
        <v/>
      </c>
      <c r="HQ5">
        <f>BDS("CEPH US Equity","SUPPLY_CHAIN_CUSTOMERS_FULL_DATA")</f>
        <v/>
      </c>
      <c r="IG5">
        <f>BDS("AMT US Equity","SUPPLY_CHAIN_SUPPLIERS_FULL_DATA")</f>
        <v/>
      </c>
      <c r="IU5">
        <f>BDS("AMT US Equity","SUPPLY_CHAIN_CUSTOMERS_FULL_DATA")</f>
        <v/>
      </c>
      <c r="JK5">
        <f>BDS("749001Q US Equity","SUPPLY_CHAIN_SUPPLIERS_FULL_DATA")</f>
        <v/>
      </c>
      <c r="JY5">
        <f>BDS("749001Q US Equity","SUPPLY_CHAIN_CUSTOMERS_FULL_DATA")</f>
        <v/>
      </c>
      <c r="KO5">
        <f>BDS("ESMK US Equity","SUPPLY_CHAIN_SUPPLIERS_FULL_DATA")</f>
        <v/>
      </c>
      <c r="LC5">
        <f>BDS("ESMK US Equity","SUPPLY_CHAIN_CUSTOMERS_FULL_DATA")</f>
        <v/>
      </c>
      <c r="LS5">
        <f>BDS("1702253D US Equity","SUPPLY_CHAIN_SUPPLIERS_FULL_DATA")</f>
        <v/>
      </c>
      <c r="MG5">
        <f>BDS("1702253D US Equity","SUPPLY_CHAIN_CUSTOMERS_FULL_DATA")</f>
        <v/>
      </c>
      <c r="MW5">
        <f>BDS("PNC US Equity","SUPPLY_CHAIN_SUPPLIERS_FULL_DATA")</f>
        <v/>
      </c>
      <c r="NK5">
        <f>BDS("PNC US Equity","SUPPLY_CHAIN_CUSTOMERS_FULL_DATA")</f>
        <v/>
      </c>
      <c r="OA5">
        <f>BDS("OPK US Equity","SUPPLY_CHAIN_SUPPLIERS_FULL_DATA")</f>
        <v/>
      </c>
      <c r="OO5">
        <f>BDS("OPK US Equity","SUPPLY_CHAIN_CUSTOMERS_FULL_DATA")</f>
        <v/>
      </c>
      <c r="PE5">
        <f>BDS("CVOVQ US Equity","SUPPLY_CHAIN_SUPPLIERS_FULL_DATA")</f>
        <v/>
      </c>
      <c r="PS5">
        <f>BDS("CVOVQ US Equity","SUPPLY_CHAIN_CUSTOMERS_FULL_DATA")</f>
        <v/>
      </c>
      <c r="QI5">
        <f>BDS("ROH US Equity","SUPPLY_CHAIN_SUPPLIERS_FULL_DATA")</f>
        <v/>
      </c>
      <c r="QW5">
        <f>BDS("ROH US Equity","SUPPLY_CHAIN_CUSTOMERS_FULL_DATA")</f>
        <v/>
      </c>
      <c r="RM5">
        <f>BDS("WBS US Equity","SUPPLY_CHAIN_SUPPLIERS_FULL_DATA")</f>
        <v/>
      </c>
      <c r="SA5">
        <f>BDS("WBS US Equity","SUPPLY_CHAIN_CUSTOMERS_FULL_DATA")</f>
        <v/>
      </c>
      <c r="SQ5">
        <f>BDS("nan Equity","SUPPLY_CHAIN_SUPPLIERS_FULL_DATA")</f>
        <v/>
      </c>
      <c r="TE5">
        <f>BDS("nan Equity","SUPPLY_CHAIN_CUSTOMERS_FULL_DATA")</f>
        <v/>
      </c>
      <c r="TU5">
        <f>BDS("CPF US Equity","SUPPLY_CHAIN_SUPPLIERS_FULL_DATA")</f>
        <v/>
      </c>
      <c r="UI5">
        <f>BDS("CPF US Equity","SUPPLY_CHAIN_CUSTOMERS_FULL_DATA")</f>
        <v/>
      </c>
      <c r="UY5">
        <f>BDS("EMR US Equity","SUPPLY_CHAIN_SUPPLIERS_FULL_DATA")</f>
        <v/>
      </c>
      <c r="VM5">
        <f>BDS("EMR US Equity","SUPPLY_CHAIN_CUSTOMERS_FULL_DATA")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2022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2023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2024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2025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2026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2027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2028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2029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2030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2031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2032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2033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2034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2035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2036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2037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2038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2039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2040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3499164Q US Equity</t>
        </is>
      </c>
      <c r="AE2" s="3" t="inlineStr">
        <is>
          <t>ETP US Equity</t>
        </is>
      </c>
      <c r="BI2" s="3" t="inlineStr">
        <is>
          <t>1524867D US Equity</t>
        </is>
      </c>
      <c r="CM2" s="3" t="inlineStr">
        <is>
          <t>329556Q US Equity</t>
        </is>
      </c>
      <c r="DQ2" s="3" t="inlineStr">
        <is>
          <t>IBM US Equity</t>
        </is>
      </c>
      <c r="EU2" s="3" t="inlineStr">
        <is>
          <t>FMBI US Equity</t>
        </is>
      </c>
      <c r="FY2" s="3" t="inlineStr">
        <is>
          <t>HET US Equity</t>
        </is>
      </c>
      <c r="HC2" s="3" t="inlineStr">
        <is>
          <t>2326248D US Equity</t>
        </is>
      </c>
      <c r="IG2" s="3" t="inlineStr">
        <is>
          <t>ON US Equity</t>
        </is>
      </c>
      <c r="JK2" s="3" t="inlineStr">
        <is>
          <t>MAN US Equity</t>
        </is>
      </c>
      <c r="KO2" s="3" t="inlineStr">
        <is>
          <t>AZTA US Equity</t>
        </is>
      </c>
      <c r="LS2" s="3" t="inlineStr">
        <is>
          <t>1255459D US Equity</t>
        </is>
      </c>
      <c r="MW2" s="3" t="inlineStr">
        <is>
          <t>MXIM US Equity</t>
        </is>
      </c>
      <c r="OA2" s="3" t="inlineStr">
        <is>
          <t>TFC US Equity</t>
        </is>
      </c>
      <c r="PE2" s="3" t="inlineStr">
        <is>
          <t>nan Equity</t>
        </is>
      </c>
      <c r="QI2" s="3" t="inlineStr">
        <is>
          <t>CEPH US Equity</t>
        </is>
      </c>
      <c r="RM2" s="3" t="inlineStr">
        <is>
          <t>PNP US Equity</t>
        </is>
      </c>
      <c r="SQ2" s="3" t="inlineStr">
        <is>
          <t>OK US Equity</t>
        </is>
      </c>
      <c r="TU2" s="3" t="inlineStr">
        <is>
          <t>0848680D US Equity</t>
        </is>
      </c>
      <c r="UY2" s="3" t="inlineStr">
        <is>
          <t>RVTY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BDS("3499164Q US Equity","SUPPLY_CHAIN_SUPPLIERS_FULL_DATA")</f>
        <v/>
      </c>
      <c r="O5">
        <f>BDS("3499164Q US Equity","SUPPLY_CHAIN_CUSTOMERS_FULL_DATA")</f>
        <v/>
      </c>
      <c r="AE5">
        <f>BDS("ETP US Equity","SUPPLY_CHAIN_SUPPLIERS_FULL_DATA")</f>
        <v/>
      </c>
      <c r="AS5">
        <f>BDS("ETP US Equity","SUPPLY_CHAIN_CUSTOMERS_FULL_DATA")</f>
        <v/>
      </c>
      <c r="BI5">
        <f>BDS("1524867D US Equity","SUPPLY_CHAIN_SUPPLIERS_FULL_DATA")</f>
        <v/>
      </c>
      <c r="BW5">
        <f>BDS("1524867D US Equity","SUPPLY_CHAIN_CUSTOMERS_FULL_DATA")</f>
        <v/>
      </c>
      <c r="CM5">
        <f>BDS("329556Q US Equity","SUPPLY_CHAIN_SUPPLIERS_FULL_DATA")</f>
        <v/>
      </c>
      <c r="DA5">
        <f>BDS("329556Q US Equity","SUPPLY_CHAIN_CUSTOMERS_FULL_DATA")</f>
        <v/>
      </c>
      <c r="DQ5">
        <f>BDS("IBM US Equity","SUPPLY_CHAIN_SUPPLIERS_FULL_DATA")</f>
        <v/>
      </c>
      <c r="EE5">
        <f>BDS("IBM US Equity","SUPPLY_CHAIN_CUSTOMERS_FULL_DATA")</f>
        <v/>
      </c>
      <c r="EU5">
        <f>BDS("FMBI US Equity","SUPPLY_CHAIN_SUPPLIERS_FULL_DATA")</f>
        <v/>
      </c>
      <c r="FI5">
        <f>BDS("FMBI US Equity","SUPPLY_CHAIN_CUSTOMERS_FULL_DATA")</f>
        <v/>
      </c>
      <c r="FY5">
        <f>BDS("HET US Equity","SUPPLY_CHAIN_SUPPLIERS_FULL_DATA")</f>
        <v/>
      </c>
      <c r="GM5">
        <f>BDS("HET US Equity","SUPPLY_CHAIN_CUSTOMERS_FULL_DATA")</f>
        <v/>
      </c>
      <c r="HC5">
        <f>BDS("2326248D US Equity","SUPPLY_CHAIN_SUPPLIERS_FULL_DATA")</f>
        <v/>
      </c>
      <c r="HQ5">
        <f>BDS("2326248D US Equity","SUPPLY_CHAIN_CUSTOMERS_FULL_DATA")</f>
        <v/>
      </c>
      <c r="IG5">
        <f>BDS("ON US Equity","SUPPLY_CHAIN_SUPPLIERS_FULL_DATA")</f>
        <v/>
      </c>
      <c r="IU5">
        <f>BDS("ON US Equity","SUPPLY_CHAIN_CUSTOMERS_FULL_DATA")</f>
        <v/>
      </c>
      <c r="JK5">
        <f>BDS("MAN US Equity","SUPPLY_CHAIN_SUPPLIERS_FULL_DATA")</f>
        <v/>
      </c>
      <c r="JY5">
        <f>BDS("MAN US Equity","SUPPLY_CHAIN_CUSTOMERS_FULL_DATA")</f>
        <v/>
      </c>
      <c r="KO5">
        <f>BDS("AZTA US Equity","SUPPLY_CHAIN_SUPPLIERS_FULL_DATA")</f>
        <v/>
      </c>
      <c r="LC5">
        <f>BDS("AZTA US Equity","SUPPLY_CHAIN_CUSTOMERS_FULL_DATA")</f>
        <v/>
      </c>
      <c r="LS5">
        <f>BDS("1255459D US Equity","SUPPLY_CHAIN_SUPPLIERS_FULL_DATA")</f>
        <v/>
      </c>
      <c r="MG5">
        <f>BDS("1255459D US Equity","SUPPLY_CHAIN_CUSTOMERS_FULL_DATA")</f>
        <v/>
      </c>
      <c r="MW5">
        <f>BDS("MXIM US Equity","SUPPLY_CHAIN_SUPPLIERS_FULL_DATA")</f>
        <v/>
      </c>
      <c r="NK5">
        <f>BDS("MXIM US Equity","SUPPLY_CHAIN_CUSTOMERS_FULL_DATA")</f>
        <v/>
      </c>
      <c r="OA5">
        <f>BDS("TFC US Equity","SUPPLY_CHAIN_SUPPLIERS_FULL_DATA")</f>
        <v/>
      </c>
      <c r="OO5">
        <f>BDS("TFC US Equity","SUPPLY_CHAIN_CUSTOMERS_FULL_DATA")</f>
        <v/>
      </c>
      <c r="PE5">
        <f>BDS("nan Equity","SUPPLY_CHAIN_SUPPLIERS_FULL_DATA")</f>
        <v/>
      </c>
      <c r="PS5">
        <f>BDS("nan Equity","SUPPLY_CHAIN_CUSTOMERS_FULL_DATA")</f>
        <v/>
      </c>
      <c r="QI5">
        <f>BDS("CEPH US Equity","SUPPLY_CHAIN_SUPPLIERS_FULL_DATA")</f>
        <v/>
      </c>
      <c r="QW5">
        <f>BDS("CEPH US Equity","SUPPLY_CHAIN_CUSTOMERS_FULL_DATA")</f>
        <v/>
      </c>
      <c r="RM5">
        <f>BDS("PNP US Equity","SUPPLY_CHAIN_SUPPLIERS_FULL_DATA")</f>
        <v/>
      </c>
      <c r="SA5">
        <f>BDS("PNP US Equity","SUPPLY_CHAIN_CUSTOMERS_FULL_DATA")</f>
        <v/>
      </c>
      <c r="SQ5">
        <f>BDS("OK US Equity","SUPPLY_CHAIN_SUPPLIERS_FULL_DATA")</f>
        <v/>
      </c>
      <c r="TE5">
        <f>BDS("OK US Equity","SUPPLY_CHAIN_CUSTOMERS_FULL_DATA")</f>
        <v/>
      </c>
      <c r="TU5">
        <f>BDS("0848680D US Equity","SUPPLY_CHAIN_SUPPLIERS_FULL_DATA")</f>
        <v/>
      </c>
      <c r="UI5">
        <f>BDS("0848680D US Equity","SUPPLY_CHAIN_CUSTOMERS_FULL_DATA")</f>
        <v/>
      </c>
      <c r="UY5">
        <f>BDS("RVTY US Equity","SUPPLY_CHAIN_SUPPLIERS_FULL_DATA")</f>
        <v/>
      </c>
      <c r="VM5">
        <f>BDS("RVTY US Equity","SUPPLY_CHAIN_CUSTOMERS_FULL_DATA")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2041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2042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2043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2044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2045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2046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2047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2048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2049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2050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2051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2052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2053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2054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2055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2056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2057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2058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2059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2060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NBR US Equity</t>
        </is>
      </c>
      <c r="AE2" s="3" t="inlineStr">
        <is>
          <t>UDI US Equity</t>
        </is>
      </c>
      <c r="BI2" s="3" t="inlineStr">
        <is>
          <t>LSCC US Equity</t>
        </is>
      </c>
      <c r="CM2" s="3" t="inlineStr">
        <is>
          <t>JEF US Equity</t>
        </is>
      </c>
      <c r="DQ2" s="3" t="inlineStr">
        <is>
          <t>KSPN US Equity</t>
        </is>
      </c>
      <c r="EU2" s="3" t="inlineStr">
        <is>
          <t>FDC US Equity</t>
        </is>
      </c>
      <c r="FY2" s="3" t="inlineStr">
        <is>
          <t>FNB US Equity</t>
        </is>
      </c>
      <c r="HC2" s="3" t="inlineStr">
        <is>
          <t>nan Equity</t>
        </is>
      </c>
      <c r="IG2" s="3" t="inlineStr">
        <is>
          <t>ILA US Equity</t>
        </is>
      </c>
      <c r="JK2" s="3" t="inlineStr">
        <is>
          <t>838969Q US Equity</t>
        </is>
      </c>
      <c r="KO2" s="3" t="inlineStr">
        <is>
          <t>SEBL US Equity</t>
        </is>
      </c>
      <c r="LS2" s="3" t="inlineStr">
        <is>
          <t>0848680D US Equity</t>
        </is>
      </c>
      <c r="MW2" s="3" t="inlineStr">
        <is>
          <t>KEX US Equity</t>
        </is>
      </c>
      <c r="OA2" s="3" t="inlineStr">
        <is>
          <t>SYNA US Equity</t>
        </is>
      </c>
      <c r="PE2" s="3" t="inlineStr">
        <is>
          <t>PBCT US Equity</t>
        </is>
      </c>
      <c r="QI2" s="3" t="inlineStr">
        <is>
          <t>SUPN US Equity</t>
        </is>
      </c>
      <c r="RM2" s="3" t="inlineStr">
        <is>
          <t>SOV US Equity</t>
        </is>
      </c>
      <c r="SQ2" s="3" t="inlineStr">
        <is>
          <t>WFC US Equity</t>
        </is>
      </c>
      <c r="TU2" s="3" t="inlineStr">
        <is>
          <t>8397627Q US Equity</t>
        </is>
      </c>
      <c r="UY2" s="3" t="inlineStr">
        <is>
          <t>1799685D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BDS("NBR US Equity","SUPPLY_CHAIN_SUPPLIERS_FULL_DATA")</f>
        <v/>
      </c>
      <c r="O5">
        <f>BDS("NBR US Equity","SUPPLY_CHAIN_CUSTOMERS_FULL_DATA")</f>
        <v/>
      </c>
      <c r="AE5">
        <f>BDS("UDI US Equity","SUPPLY_CHAIN_SUPPLIERS_FULL_DATA")</f>
        <v/>
      </c>
      <c r="AS5">
        <f>BDS("UDI US Equity","SUPPLY_CHAIN_CUSTOMERS_FULL_DATA")</f>
        <v/>
      </c>
      <c r="BI5">
        <f>BDS("LSCC US Equity","SUPPLY_CHAIN_SUPPLIERS_FULL_DATA")</f>
        <v/>
      </c>
      <c r="BW5">
        <f>BDS("LSCC US Equity","SUPPLY_CHAIN_CUSTOMERS_FULL_DATA")</f>
        <v/>
      </c>
      <c r="CM5">
        <f>BDS("JEF US Equity","SUPPLY_CHAIN_SUPPLIERS_FULL_DATA")</f>
        <v/>
      </c>
      <c r="DA5">
        <f>BDS("JEF US Equity","SUPPLY_CHAIN_CUSTOMERS_FULL_DATA")</f>
        <v/>
      </c>
      <c r="DQ5">
        <f>BDS("KSPN US Equity","SUPPLY_CHAIN_SUPPLIERS_FULL_DATA")</f>
        <v/>
      </c>
      <c r="EE5">
        <f>BDS("KSPN US Equity","SUPPLY_CHAIN_CUSTOMERS_FULL_DATA")</f>
        <v/>
      </c>
      <c r="EU5">
        <f>BDS("FDC US Equity","SUPPLY_CHAIN_SUPPLIERS_FULL_DATA")</f>
        <v/>
      </c>
      <c r="FI5">
        <f>BDS("FDC US Equity","SUPPLY_CHAIN_CUSTOMERS_FULL_DATA")</f>
        <v/>
      </c>
      <c r="FY5">
        <f>BDS("FNB US Equity","SUPPLY_CHAIN_SUPPLIERS_FULL_DATA")</f>
        <v/>
      </c>
      <c r="GM5">
        <f>BDS("FNB US Equity","SUPPLY_CHAIN_CUSTOMERS_FULL_DATA")</f>
        <v/>
      </c>
      <c r="HC5">
        <f>BDS("nan Equity","SUPPLY_CHAIN_SUPPLIERS_FULL_DATA")</f>
        <v/>
      </c>
      <c r="HQ5">
        <f>BDS("nan Equity","SUPPLY_CHAIN_CUSTOMERS_FULL_DATA")</f>
        <v/>
      </c>
      <c r="IG5">
        <f>BDS("ILA US Equity","SUPPLY_CHAIN_SUPPLIERS_FULL_DATA")</f>
        <v/>
      </c>
      <c r="IU5">
        <f>BDS("ILA US Equity","SUPPLY_CHAIN_CUSTOMERS_FULL_DATA")</f>
        <v/>
      </c>
      <c r="JK5">
        <f>BDS("838969Q US Equity","SUPPLY_CHAIN_SUPPLIERS_FULL_DATA")</f>
        <v/>
      </c>
      <c r="JY5">
        <f>BDS("838969Q US Equity","SUPPLY_CHAIN_CUSTOMERS_FULL_DATA")</f>
        <v/>
      </c>
      <c r="KO5">
        <f>BDS("SEBL US Equity","SUPPLY_CHAIN_SUPPLIERS_FULL_DATA")</f>
        <v/>
      </c>
      <c r="LC5">
        <f>BDS("SEBL US Equity","SUPPLY_CHAIN_CUSTOMERS_FULL_DATA")</f>
        <v/>
      </c>
      <c r="LS5">
        <f>BDS("0848680D US Equity","SUPPLY_CHAIN_SUPPLIERS_FULL_DATA")</f>
        <v/>
      </c>
      <c r="MG5">
        <f>BDS("0848680D US Equity","SUPPLY_CHAIN_CUSTOMERS_FULL_DATA")</f>
        <v/>
      </c>
      <c r="MW5">
        <f>BDS("KEX US Equity","SUPPLY_CHAIN_SUPPLIERS_FULL_DATA")</f>
        <v/>
      </c>
      <c r="NK5">
        <f>BDS("KEX US Equity","SUPPLY_CHAIN_CUSTOMERS_FULL_DATA")</f>
        <v/>
      </c>
      <c r="OA5">
        <f>BDS("SYNA US Equity","SUPPLY_CHAIN_SUPPLIERS_FULL_DATA")</f>
        <v/>
      </c>
      <c r="OO5">
        <f>BDS("SYNA US Equity","SUPPLY_CHAIN_CUSTOMERS_FULL_DATA")</f>
        <v/>
      </c>
      <c r="PE5">
        <f>BDS("PBCT US Equity","SUPPLY_CHAIN_SUPPLIERS_FULL_DATA")</f>
        <v/>
      </c>
      <c r="PS5">
        <f>BDS("PBCT US Equity","SUPPLY_CHAIN_CUSTOMERS_FULL_DATA")</f>
        <v/>
      </c>
      <c r="QI5">
        <f>BDS("SUPN US Equity","SUPPLY_CHAIN_SUPPLIERS_FULL_DATA")</f>
        <v/>
      </c>
      <c r="QW5">
        <f>BDS("SUPN US Equity","SUPPLY_CHAIN_CUSTOMERS_FULL_DATA")</f>
        <v/>
      </c>
      <c r="RM5">
        <f>BDS("SOV US Equity","SUPPLY_CHAIN_SUPPLIERS_FULL_DATA")</f>
        <v/>
      </c>
      <c r="SA5">
        <f>BDS("SOV US Equity","SUPPLY_CHAIN_CUSTOMERS_FULL_DATA")</f>
        <v/>
      </c>
      <c r="SQ5">
        <f>BDS("WFC US Equity","SUPPLY_CHAIN_SUPPLIERS_FULL_DATA")</f>
        <v/>
      </c>
      <c r="TE5">
        <f>BDS("WFC US Equity","SUPPLY_CHAIN_CUSTOMERS_FULL_DATA")</f>
        <v/>
      </c>
      <c r="TU5">
        <f>BDS("8397627Q US Equity","SUPPLY_CHAIN_SUPPLIERS_FULL_DATA")</f>
        <v/>
      </c>
      <c r="UI5">
        <f>BDS("8397627Q US Equity","SUPPLY_CHAIN_CUSTOMERS_FULL_DATA")</f>
        <v/>
      </c>
      <c r="UY5">
        <f>BDS("1799685D US Equity","SUPPLY_CHAIN_SUPPLIERS_FULL_DATA")</f>
        <v/>
      </c>
      <c r="VM5">
        <f>BDS("1799685D US Equity","SUPPLY_CHAIN_CUSTOMERS_FULL_DATA")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2061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2062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2063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2064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2065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2066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2067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2068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2069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2070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2071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2072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2073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2074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2075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2076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2077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2078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2079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2080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MITL US Equity</t>
        </is>
      </c>
      <c r="AE2" s="3" t="inlineStr">
        <is>
          <t>PNR US Equity</t>
        </is>
      </c>
      <c r="BI2" s="3" t="inlineStr">
        <is>
          <t>MFE US Equity</t>
        </is>
      </c>
      <c r="CM2" s="3" t="inlineStr">
        <is>
          <t>PRK US Equity</t>
        </is>
      </c>
      <c r="DQ2" s="3" t="inlineStr">
        <is>
          <t>FNB US Equity</t>
        </is>
      </c>
      <c r="EU2" s="3" t="inlineStr">
        <is>
          <t>KFRC US Equity</t>
        </is>
      </c>
      <c r="FY2" s="3" t="inlineStr">
        <is>
          <t>KRNY US Equity</t>
        </is>
      </c>
      <c r="HC2" s="3" t="inlineStr">
        <is>
          <t>TFC US Equity</t>
        </is>
      </c>
      <c r="IG2" s="3" t="inlineStr">
        <is>
          <t>WFC US Equity</t>
        </is>
      </c>
      <c r="JK2" s="3" t="inlineStr">
        <is>
          <t>COV US Equity</t>
        </is>
      </c>
      <c r="KO2" s="3" t="inlineStr">
        <is>
          <t>2674129Q US Equity</t>
        </is>
      </c>
      <c r="LS2" s="3" t="inlineStr">
        <is>
          <t>WAL US Equity</t>
        </is>
      </c>
      <c r="MW2" s="3" t="inlineStr">
        <is>
          <t>612939Q US Equity</t>
        </is>
      </c>
      <c r="OA2" s="3" t="inlineStr">
        <is>
          <t>nan Equity</t>
        </is>
      </c>
      <c r="PE2" s="3" t="inlineStr">
        <is>
          <t>OLN US Equity</t>
        </is>
      </c>
      <c r="QI2" s="3" t="inlineStr">
        <is>
          <t>1822785D US Equity</t>
        </is>
      </c>
      <c r="RM2" s="3" t="inlineStr">
        <is>
          <t>MSCC US Equity</t>
        </is>
      </c>
      <c r="SQ2" s="3" t="inlineStr">
        <is>
          <t>RBN US Equity</t>
        </is>
      </c>
      <c r="TU2" s="3" t="inlineStr">
        <is>
          <t>PH US Equity</t>
        </is>
      </c>
      <c r="UY2" s="3" t="inlineStr">
        <is>
          <t>CSL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BDS("MITL US Equity","SUPPLY_CHAIN_SUPPLIERS_FULL_DATA")</f>
        <v/>
      </c>
      <c r="O5">
        <f>BDS("MITL US Equity","SUPPLY_CHAIN_CUSTOMERS_FULL_DATA")</f>
        <v/>
      </c>
      <c r="AE5">
        <f>BDS("PNR US Equity","SUPPLY_CHAIN_SUPPLIERS_FULL_DATA")</f>
        <v/>
      </c>
      <c r="AS5">
        <f>BDS("PNR US Equity","SUPPLY_CHAIN_CUSTOMERS_FULL_DATA")</f>
        <v/>
      </c>
      <c r="BI5">
        <f>BDS("MFE US Equity","SUPPLY_CHAIN_SUPPLIERS_FULL_DATA")</f>
        <v/>
      </c>
      <c r="BW5">
        <f>BDS("MFE US Equity","SUPPLY_CHAIN_CUSTOMERS_FULL_DATA")</f>
        <v/>
      </c>
      <c r="CM5">
        <f>BDS("PRK US Equity","SUPPLY_CHAIN_SUPPLIERS_FULL_DATA")</f>
        <v/>
      </c>
      <c r="DA5">
        <f>BDS("PRK US Equity","SUPPLY_CHAIN_CUSTOMERS_FULL_DATA")</f>
        <v/>
      </c>
      <c r="DQ5">
        <f>BDS("FNB US Equity","SUPPLY_CHAIN_SUPPLIERS_FULL_DATA")</f>
        <v/>
      </c>
      <c r="EE5">
        <f>BDS("FNB US Equity","SUPPLY_CHAIN_CUSTOMERS_FULL_DATA")</f>
        <v/>
      </c>
      <c r="EU5">
        <f>BDS("KFRC US Equity","SUPPLY_CHAIN_SUPPLIERS_FULL_DATA")</f>
        <v/>
      </c>
      <c r="FI5">
        <f>BDS("KFRC US Equity","SUPPLY_CHAIN_CUSTOMERS_FULL_DATA")</f>
        <v/>
      </c>
      <c r="FY5">
        <f>BDS("KRNY US Equity","SUPPLY_CHAIN_SUPPLIERS_FULL_DATA")</f>
        <v/>
      </c>
      <c r="GM5">
        <f>BDS("KRNY US Equity","SUPPLY_CHAIN_CUSTOMERS_FULL_DATA")</f>
        <v/>
      </c>
      <c r="HC5">
        <f>BDS("TFC US Equity","SUPPLY_CHAIN_SUPPLIERS_FULL_DATA")</f>
        <v/>
      </c>
      <c r="HQ5">
        <f>BDS("TFC US Equity","SUPPLY_CHAIN_CUSTOMERS_FULL_DATA")</f>
        <v/>
      </c>
      <c r="IG5">
        <f>BDS("WFC US Equity","SUPPLY_CHAIN_SUPPLIERS_FULL_DATA")</f>
        <v/>
      </c>
      <c r="IU5">
        <f>BDS("WFC US Equity","SUPPLY_CHAIN_CUSTOMERS_FULL_DATA")</f>
        <v/>
      </c>
      <c r="JK5">
        <f>BDS("COV US Equity","SUPPLY_CHAIN_SUPPLIERS_FULL_DATA")</f>
        <v/>
      </c>
      <c r="JY5">
        <f>BDS("COV US Equity","SUPPLY_CHAIN_CUSTOMERS_FULL_DATA")</f>
        <v/>
      </c>
      <c r="KO5">
        <f>BDS("2674129Q US Equity","SUPPLY_CHAIN_SUPPLIERS_FULL_DATA")</f>
        <v/>
      </c>
      <c r="LC5">
        <f>BDS("2674129Q US Equity","SUPPLY_CHAIN_CUSTOMERS_FULL_DATA")</f>
        <v/>
      </c>
      <c r="LS5">
        <f>BDS("WAL US Equity","SUPPLY_CHAIN_SUPPLIERS_FULL_DATA")</f>
        <v/>
      </c>
      <c r="MG5">
        <f>BDS("WAL US Equity","SUPPLY_CHAIN_CUSTOMERS_FULL_DATA")</f>
        <v/>
      </c>
      <c r="MW5">
        <f>BDS("612939Q US Equity","SUPPLY_CHAIN_SUPPLIERS_FULL_DATA")</f>
        <v/>
      </c>
      <c r="NK5">
        <f>BDS("612939Q US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BDS("OLN US Equity","SUPPLY_CHAIN_SUPPLIERS_FULL_DATA")</f>
        <v/>
      </c>
      <c r="PS5">
        <f>BDS("OLN US Equity","SUPPLY_CHAIN_CUSTOMERS_FULL_DATA")</f>
        <v/>
      </c>
      <c r="QI5">
        <f>BDS("1822785D US Equity","SUPPLY_CHAIN_SUPPLIERS_FULL_DATA")</f>
        <v/>
      </c>
      <c r="QW5">
        <f>BDS("1822785D US Equity","SUPPLY_CHAIN_CUSTOMERS_FULL_DATA")</f>
        <v/>
      </c>
      <c r="RM5">
        <f>BDS("MSCC US Equity","SUPPLY_CHAIN_SUPPLIERS_FULL_DATA")</f>
        <v/>
      </c>
      <c r="SA5">
        <f>BDS("MSCC US Equity","SUPPLY_CHAIN_CUSTOMERS_FULL_DATA")</f>
        <v/>
      </c>
      <c r="SQ5">
        <f>BDS("RBN US Equity","SUPPLY_CHAIN_SUPPLIERS_FULL_DATA")</f>
        <v/>
      </c>
      <c r="TE5">
        <f>BDS("RBN US Equity","SUPPLY_CHAIN_CUSTOMERS_FULL_DATA")</f>
        <v/>
      </c>
      <c r="TU5">
        <f>BDS("PH US Equity","SUPPLY_CHAIN_SUPPLIERS_FULL_DATA")</f>
        <v/>
      </c>
      <c r="UI5">
        <f>BDS("PH US Equity","SUPPLY_CHAIN_CUSTOMERS_FULL_DATA")</f>
        <v/>
      </c>
      <c r="UY5">
        <f>BDS("CSL US Equity","SUPPLY_CHAIN_SUPPLIERS_FULL_DATA")</f>
        <v/>
      </c>
      <c r="VM5">
        <f>BDS("CSL US Equity","SUPPLY_CHAIN_CUSTOMERS_FULL_DATA")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2081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2082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2083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2084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2085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2086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2087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2088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2089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2090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2091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2092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2093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2094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2095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2096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2097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2098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2099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2100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KLAC US Equity</t>
        </is>
      </c>
      <c r="BI2" s="3" t="inlineStr">
        <is>
          <t>ENDPQ US Equity</t>
        </is>
      </c>
      <c r="CM2" s="3" t="inlineStr">
        <is>
          <t>SGEN US Equity</t>
        </is>
      </c>
      <c r="DQ2" s="3" t="inlineStr">
        <is>
          <t>9995577D US Equity</t>
        </is>
      </c>
      <c r="EU2" s="3" t="inlineStr">
        <is>
          <t>0882814D US Equity</t>
        </is>
      </c>
      <c r="FY2" s="3" t="inlineStr">
        <is>
          <t>GILD US Equity</t>
        </is>
      </c>
      <c r="HC2" s="3" t="inlineStr">
        <is>
          <t>STCN US Equity</t>
        </is>
      </c>
      <c r="IG2" s="3" t="inlineStr">
        <is>
          <t>ABT US Equity</t>
        </is>
      </c>
      <c r="JK2" s="3" t="inlineStr">
        <is>
          <t>987200Q US Equity</t>
        </is>
      </c>
      <c r="KO2" s="3" t="inlineStr">
        <is>
          <t>IBEMQ US Equity</t>
        </is>
      </c>
      <c r="LS2" s="3" t="inlineStr">
        <is>
          <t>RBPAA US Equity</t>
        </is>
      </c>
      <c r="MW2" s="3" t="inlineStr">
        <is>
          <t>VIAV US Equity</t>
        </is>
      </c>
      <c r="OA2" s="3" t="inlineStr">
        <is>
          <t>BKB US Equity</t>
        </is>
      </c>
      <c r="PE2" s="3" t="inlineStr">
        <is>
          <t>nan Equity</t>
        </is>
      </c>
      <c r="QI2" s="3" t="inlineStr">
        <is>
          <t>SCHL US Equity</t>
        </is>
      </c>
      <c r="RM2" s="3" t="inlineStr">
        <is>
          <t>IPIXQ US Equity</t>
        </is>
      </c>
      <c r="SQ2" s="3" t="inlineStr">
        <is>
          <t>CCBI US Equity</t>
        </is>
      </c>
      <c r="TU2" s="3" t="inlineStr">
        <is>
          <t>1920486D US Equity</t>
        </is>
      </c>
      <c r="UY2" s="3" t="inlineStr">
        <is>
          <t>CMTL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BDS("KLAC US Equity","SUPPLY_CHAIN_SUPPLIERS_FULL_DATA")</f>
        <v/>
      </c>
      <c r="AS5">
        <f>BDS("KLAC US Equity","SUPPLY_CHAIN_CUSTOMERS_FULL_DATA")</f>
        <v/>
      </c>
      <c r="BI5">
        <f>BDS("ENDPQ US Equity","SUPPLY_CHAIN_SUPPLIERS_FULL_DATA")</f>
        <v/>
      </c>
      <c r="BW5">
        <f>BDS("ENDPQ US Equity","SUPPLY_CHAIN_CUSTOMERS_FULL_DATA")</f>
        <v/>
      </c>
      <c r="CM5">
        <f>BDS("SGEN US Equity","SUPPLY_CHAIN_SUPPLIERS_FULL_DATA")</f>
        <v/>
      </c>
      <c r="DA5">
        <f>BDS("SGEN US Equity","SUPPLY_CHAIN_CUSTOMERS_FULL_DATA")</f>
        <v/>
      </c>
      <c r="DQ5">
        <f>BDS("9995577D US Equity","SUPPLY_CHAIN_SUPPLIERS_FULL_DATA")</f>
        <v/>
      </c>
      <c r="EE5">
        <f>BDS("9995577D US Equity","SUPPLY_CHAIN_CUSTOMERS_FULL_DATA")</f>
        <v/>
      </c>
      <c r="EU5">
        <f>BDS("0882814D US Equity","SUPPLY_CHAIN_SUPPLIERS_FULL_DATA")</f>
        <v/>
      </c>
      <c r="FI5">
        <f>BDS("0882814D US Equity","SUPPLY_CHAIN_CUSTOMERS_FULL_DATA")</f>
        <v/>
      </c>
      <c r="FY5">
        <f>BDS("GILD US Equity","SUPPLY_CHAIN_SUPPLIERS_FULL_DATA")</f>
        <v/>
      </c>
      <c r="GM5">
        <f>BDS("GILD US Equity","SUPPLY_CHAIN_CUSTOMERS_FULL_DATA")</f>
        <v/>
      </c>
      <c r="HC5">
        <f>BDS("STCN US Equity","SUPPLY_CHAIN_SUPPLIERS_FULL_DATA")</f>
        <v/>
      </c>
      <c r="HQ5">
        <f>BDS("STCN US Equity","SUPPLY_CHAIN_CUSTOMERS_FULL_DATA")</f>
        <v/>
      </c>
      <c r="IG5">
        <f>BDS("ABT US Equity","SUPPLY_CHAIN_SUPPLIERS_FULL_DATA")</f>
        <v/>
      </c>
      <c r="IU5">
        <f>BDS("ABT US Equity","SUPPLY_CHAIN_CUSTOMERS_FULL_DATA")</f>
        <v/>
      </c>
      <c r="JK5">
        <f>BDS("987200Q US Equity","SUPPLY_CHAIN_SUPPLIERS_FULL_DATA")</f>
        <v/>
      </c>
      <c r="JY5">
        <f>BDS("987200Q US Equity","SUPPLY_CHAIN_CUSTOMERS_FULL_DATA")</f>
        <v/>
      </c>
      <c r="KO5">
        <f>BDS("IBEMQ US Equity","SUPPLY_CHAIN_SUPPLIERS_FULL_DATA")</f>
        <v/>
      </c>
      <c r="LC5">
        <f>BDS("IBEMQ US Equity","SUPPLY_CHAIN_CUSTOMERS_FULL_DATA")</f>
        <v/>
      </c>
      <c r="LS5">
        <f>BDS("RBPAA US Equity","SUPPLY_CHAIN_SUPPLIERS_FULL_DATA")</f>
        <v/>
      </c>
      <c r="MG5">
        <f>BDS("RBPAA US Equity","SUPPLY_CHAIN_CUSTOMERS_FULL_DATA")</f>
        <v/>
      </c>
      <c r="MW5">
        <f>BDS("VIAV US Equity","SUPPLY_CHAIN_SUPPLIERS_FULL_DATA")</f>
        <v/>
      </c>
      <c r="NK5">
        <f>BDS("VIAV US Equity","SUPPLY_CHAIN_CUSTOMERS_FULL_DATA")</f>
        <v/>
      </c>
      <c r="OA5">
        <f>BDS("BKB US Equity","SUPPLY_CHAIN_SUPPLIERS_FULL_DATA")</f>
        <v/>
      </c>
      <c r="OO5">
        <f>BDS("BKB US Equity","SUPPLY_CHAIN_CUSTOMERS_FULL_DATA")</f>
        <v/>
      </c>
      <c r="PE5">
        <f>BDS("nan Equity","SUPPLY_CHAIN_SUPPLIERS_FULL_DATA")</f>
        <v/>
      </c>
      <c r="PS5">
        <f>BDS("nan Equity","SUPPLY_CHAIN_CUSTOMERS_FULL_DATA")</f>
        <v/>
      </c>
      <c r="QI5">
        <f>BDS("SCHL US Equity","SUPPLY_CHAIN_SUPPLIERS_FULL_DATA")</f>
        <v/>
      </c>
      <c r="QW5">
        <f>BDS("SCHL US Equity","SUPPLY_CHAIN_CUSTOMERS_FULL_DATA")</f>
        <v/>
      </c>
      <c r="RM5">
        <f>BDS("IPIXQ US Equity","SUPPLY_CHAIN_SUPPLIERS_FULL_DATA")</f>
        <v/>
      </c>
      <c r="SA5">
        <f>BDS("IPIXQ US Equity","SUPPLY_CHAIN_CUSTOMERS_FULL_DATA")</f>
        <v/>
      </c>
      <c r="SQ5">
        <f>BDS("CCBI US Equity","SUPPLY_CHAIN_SUPPLIERS_FULL_DATA")</f>
        <v/>
      </c>
      <c r="TE5">
        <f>BDS("CCBI US Equity","SUPPLY_CHAIN_CUSTOMERS_FULL_DATA")</f>
        <v/>
      </c>
      <c r="TU5">
        <f>BDS("1920486D US Equity","SUPPLY_CHAIN_SUPPLIERS_FULL_DATA")</f>
        <v/>
      </c>
      <c r="UI5">
        <f>BDS("1920486D US Equity","SUPPLY_CHAIN_CUSTOMERS_FULL_DATA")</f>
        <v/>
      </c>
      <c r="UY5">
        <f>BDS("CMTL US Equity","SUPPLY_CHAIN_SUPPLIERS_FULL_DATA")</f>
        <v/>
      </c>
      <c r="VM5">
        <f>BDS("CMTL US Equity","SUPPLY_CHAIN_CUSTOMERS_FULL_DATA")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2101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2102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2103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2104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2105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2106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2107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2108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2109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2110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2111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2112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2113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2114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2115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2116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2117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2118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2119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2120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VPHM US Equity</t>
        </is>
      </c>
      <c r="AE2" s="3" t="inlineStr">
        <is>
          <t>MTCH US Equity</t>
        </is>
      </c>
      <c r="BI2" s="3" t="inlineStr">
        <is>
          <t>HI US Equity</t>
        </is>
      </c>
      <c r="CM2" s="3" t="inlineStr">
        <is>
          <t>2596516D US Equity</t>
        </is>
      </c>
      <c r="DQ2" s="3" t="inlineStr">
        <is>
          <t>MSFT US Equity</t>
        </is>
      </c>
      <c r="EU2" s="3" t="inlineStr">
        <is>
          <t>SUG US Equity</t>
        </is>
      </c>
      <c r="FY2" s="3" t="inlineStr">
        <is>
          <t>1715651D US Equity</t>
        </is>
      </c>
      <c r="HC2" s="3" t="inlineStr">
        <is>
          <t>T US Equity</t>
        </is>
      </c>
      <c r="IG2" s="3" t="inlineStr">
        <is>
          <t>LQI US Equity</t>
        </is>
      </c>
      <c r="JK2" s="3" t="inlineStr">
        <is>
          <t>EXPE US Equity</t>
        </is>
      </c>
      <c r="KO2" s="3" t="inlineStr">
        <is>
          <t>SOV US Equity</t>
        </is>
      </c>
      <c r="LS2" s="3" t="inlineStr">
        <is>
          <t>SGU US Equity</t>
        </is>
      </c>
      <c r="MW2" s="3" t="inlineStr">
        <is>
          <t>3029830Q US Equity</t>
        </is>
      </c>
      <c r="OA2" s="3" t="inlineStr">
        <is>
          <t>OCR US Equity</t>
        </is>
      </c>
      <c r="PE2" s="3" t="inlineStr">
        <is>
          <t>2860436Q US Equity</t>
        </is>
      </c>
      <c r="QI2" s="3" t="inlineStr">
        <is>
          <t>ABCB US Equity</t>
        </is>
      </c>
      <c r="RM2" s="3" t="inlineStr">
        <is>
          <t>GEO US Equity</t>
        </is>
      </c>
      <c r="SQ2" s="3" t="inlineStr">
        <is>
          <t>OMTR US Equity</t>
        </is>
      </c>
      <c r="TU2" s="3" t="inlineStr">
        <is>
          <t>T US Equity</t>
        </is>
      </c>
      <c r="UY2" s="3" t="inlineStr">
        <is>
          <t>MCF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BDS("VPHM US Equity","SUPPLY_CHAIN_SUPPLIERS_FULL_DATA")</f>
        <v/>
      </c>
      <c r="O5">
        <f>BDS("VPHM US Equity","SUPPLY_CHAIN_CUSTOMERS_FULL_DATA")</f>
        <v/>
      </c>
      <c r="AE5">
        <f>BDS("MTCH US Equity","SUPPLY_CHAIN_SUPPLIERS_FULL_DATA")</f>
        <v/>
      </c>
      <c r="AS5">
        <f>BDS("MTCH US Equity","SUPPLY_CHAIN_CUSTOMERS_FULL_DATA")</f>
        <v/>
      </c>
      <c r="BI5">
        <f>BDS("HI US Equity","SUPPLY_CHAIN_SUPPLIERS_FULL_DATA")</f>
        <v/>
      </c>
      <c r="BW5">
        <f>BDS("HI US Equity","SUPPLY_CHAIN_CUSTOMERS_FULL_DATA")</f>
        <v/>
      </c>
      <c r="CM5">
        <f>BDS("2596516D US Equity","SUPPLY_CHAIN_SUPPLIERS_FULL_DATA")</f>
        <v/>
      </c>
      <c r="DA5">
        <f>BDS("2596516D US Equity","SUPPLY_CHAIN_CUSTOMERS_FULL_DATA")</f>
        <v/>
      </c>
      <c r="DQ5">
        <f>BDS("MSFT US Equity","SUPPLY_CHAIN_SUPPLIERS_FULL_DATA")</f>
        <v/>
      </c>
      <c r="EE5">
        <f>BDS("MSFT US Equity","SUPPLY_CHAIN_CUSTOMERS_FULL_DATA")</f>
        <v/>
      </c>
      <c r="EU5">
        <f>BDS("SUG US Equity","SUPPLY_CHAIN_SUPPLIERS_FULL_DATA")</f>
        <v/>
      </c>
      <c r="FI5">
        <f>BDS("SUG US Equity","SUPPLY_CHAIN_CUSTOMERS_FULL_DATA")</f>
        <v/>
      </c>
      <c r="FY5">
        <f>BDS("1715651D US Equity","SUPPLY_CHAIN_SUPPLIERS_FULL_DATA")</f>
        <v/>
      </c>
      <c r="GM5">
        <f>BDS("1715651D US Equity","SUPPLY_CHAIN_CUSTOMERS_FULL_DATA")</f>
        <v/>
      </c>
      <c r="HC5">
        <f>BDS("T US Equity","SUPPLY_CHAIN_SUPPLIERS_FULL_DATA")</f>
        <v/>
      </c>
      <c r="HQ5">
        <f>BDS("T US Equity","SUPPLY_CHAIN_CUSTOMERS_FULL_DATA")</f>
        <v/>
      </c>
      <c r="IG5">
        <f>BDS("LQI US Equity","SUPPLY_CHAIN_SUPPLIERS_FULL_DATA")</f>
        <v/>
      </c>
      <c r="IU5">
        <f>BDS("LQI US Equity","SUPPLY_CHAIN_CUSTOMERS_FULL_DATA")</f>
        <v/>
      </c>
      <c r="JK5">
        <f>BDS("EXPE US Equity","SUPPLY_CHAIN_SUPPLIERS_FULL_DATA")</f>
        <v/>
      </c>
      <c r="JY5">
        <f>BDS("EXPE US Equity","SUPPLY_CHAIN_CUSTOMERS_FULL_DATA")</f>
        <v/>
      </c>
      <c r="KO5">
        <f>BDS("SOV US Equity","SUPPLY_CHAIN_SUPPLIERS_FULL_DATA")</f>
        <v/>
      </c>
      <c r="LC5">
        <f>BDS("SOV US Equity","SUPPLY_CHAIN_CUSTOMERS_FULL_DATA")</f>
        <v/>
      </c>
      <c r="LS5">
        <f>BDS("SGU US Equity","SUPPLY_CHAIN_SUPPLIERS_FULL_DATA")</f>
        <v/>
      </c>
      <c r="MG5">
        <f>BDS("SGU US Equity","SUPPLY_CHAIN_CUSTOMERS_FULL_DATA")</f>
        <v/>
      </c>
      <c r="MW5">
        <f>BDS("3029830Q US Equity","SUPPLY_CHAIN_SUPPLIERS_FULL_DATA")</f>
        <v/>
      </c>
      <c r="NK5">
        <f>BDS("3029830Q US Equity","SUPPLY_CHAIN_CUSTOMERS_FULL_DATA")</f>
        <v/>
      </c>
      <c r="OA5">
        <f>BDS("OCR US Equity","SUPPLY_CHAIN_SUPPLIERS_FULL_DATA")</f>
        <v/>
      </c>
      <c r="OO5">
        <f>BDS("OCR US Equity","SUPPLY_CHAIN_CUSTOMERS_FULL_DATA")</f>
        <v/>
      </c>
      <c r="PE5">
        <f>BDS("2860436Q US Equity","SUPPLY_CHAIN_SUPPLIERS_FULL_DATA")</f>
        <v/>
      </c>
      <c r="PS5">
        <f>BDS("2860436Q US Equity","SUPPLY_CHAIN_CUSTOMERS_FULL_DATA")</f>
        <v/>
      </c>
      <c r="QI5">
        <f>BDS("ABCB US Equity","SUPPLY_CHAIN_SUPPLIERS_FULL_DATA")</f>
        <v/>
      </c>
      <c r="QW5">
        <f>BDS("ABCB US Equity","SUPPLY_CHAIN_CUSTOMERS_FULL_DATA")</f>
        <v/>
      </c>
      <c r="RM5">
        <f>BDS("GEO US Equity","SUPPLY_CHAIN_SUPPLIERS_FULL_DATA")</f>
        <v/>
      </c>
      <c r="SA5">
        <f>BDS("GEO US Equity","SUPPLY_CHAIN_CUSTOMERS_FULL_DATA")</f>
        <v/>
      </c>
      <c r="SQ5">
        <f>BDS("OMTR US Equity","SUPPLY_CHAIN_SUPPLIERS_FULL_DATA")</f>
        <v/>
      </c>
      <c r="TE5">
        <f>BDS("OMTR US Equity","SUPPLY_CHAIN_CUSTOMERS_FULL_DATA")</f>
        <v/>
      </c>
      <c r="TU5">
        <f>BDS("T US Equity","SUPPLY_CHAIN_SUPPLIERS_FULL_DATA")</f>
        <v/>
      </c>
      <c r="UI5">
        <f>BDS("T US Equity","SUPPLY_CHAIN_CUSTOMERS_FULL_DATA")</f>
        <v/>
      </c>
      <c r="UY5">
        <f>BDS("MCF US Equity","SUPPLY_CHAIN_SUPPLIERS_FULL_DATA")</f>
        <v/>
      </c>
      <c r="VM5">
        <f>BDS("MCF US Equity","SUPPLY_CHAIN_CUSTOMERS_FULL_DATA")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2121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2122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2123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2124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2125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2126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2127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2128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2129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2130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2131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2132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2133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2134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2135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2136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2137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2138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2139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2140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GE US Equity</t>
        </is>
      </c>
      <c r="AE2" s="3" t="inlineStr">
        <is>
          <t>TWX US Equity</t>
        </is>
      </c>
      <c r="BI2" s="3" t="inlineStr">
        <is>
          <t>EFSC US Equity</t>
        </is>
      </c>
      <c r="CM2" s="3" t="inlineStr">
        <is>
          <t>YDKN US Equity</t>
        </is>
      </c>
      <c r="DQ2" s="3" t="inlineStr">
        <is>
          <t>CF US Equity</t>
        </is>
      </c>
      <c r="EU2" s="3" t="inlineStr">
        <is>
          <t>JNJ US Equity</t>
        </is>
      </c>
      <c r="FY2" s="3" t="inlineStr">
        <is>
          <t>PPBI US Equity</t>
        </is>
      </c>
      <c r="HC2" s="3" t="inlineStr">
        <is>
          <t>EPAC US Equity</t>
        </is>
      </c>
      <c r="IG2" s="3" t="inlineStr">
        <is>
          <t>1280712D US Equity</t>
        </is>
      </c>
      <c r="JK2" s="3" t="inlineStr">
        <is>
          <t>EQC US Equity</t>
        </is>
      </c>
      <c r="KO2" s="3" t="inlineStr">
        <is>
          <t>AVNT US Equity</t>
        </is>
      </c>
      <c r="LS2" s="3" t="inlineStr">
        <is>
          <t>TFSM US Equity</t>
        </is>
      </c>
      <c r="MW2" s="3" t="inlineStr">
        <is>
          <t>PXP US Equity</t>
        </is>
      </c>
      <c r="OA2" s="3" t="inlineStr">
        <is>
          <t>EQR US Equity</t>
        </is>
      </c>
      <c r="PE2" s="3" t="inlineStr">
        <is>
          <t>OK US Equity</t>
        </is>
      </c>
      <c r="QI2" s="3" t="inlineStr">
        <is>
          <t>CITGQ US Equity</t>
        </is>
      </c>
      <c r="RM2" s="3" t="inlineStr">
        <is>
          <t>NUVA US Equity</t>
        </is>
      </c>
      <c r="SQ2" s="3" t="inlineStr">
        <is>
          <t>ELME US Equity</t>
        </is>
      </c>
      <c r="TU2" s="3" t="inlineStr">
        <is>
          <t>ELAN US Equity</t>
        </is>
      </c>
      <c r="UY2" s="3" t="inlineStr">
        <is>
          <t>AVID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BDS("GE US Equity","SUPPLY_CHAIN_SUPPLIERS_FULL_DATA")</f>
        <v/>
      </c>
      <c r="O5">
        <f>BDS("GE US Equity","SUPPLY_CHAIN_CUSTOMERS_FULL_DATA")</f>
        <v/>
      </c>
      <c r="AE5">
        <f>BDS("TWX US Equity","SUPPLY_CHAIN_SUPPLIERS_FULL_DATA")</f>
        <v/>
      </c>
      <c r="AS5">
        <f>BDS("TWX US Equity","SUPPLY_CHAIN_CUSTOMERS_FULL_DATA")</f>
        <v/>
      </c>
      <c r="BI5">
        <f>BDS("EFSC US Equity","SUPPLY_CHAIN_SUPPLIERS_FULL_DATA")</f>
        <v/>
      </c>
      <c r="BW5">
        <f>BDS("EFSC US Equity","SUPPLY_CHAIN_CUSTOMERS_FULL_DATA")</f>
        <v/>
      </c>
      <c r="CM5">
        <f>BDS("YDKN US Equity","SUPPLY_CHAIN_SUPPLIERS_FULL_DATA")</f>
        <v/>
      </c>
      <c r="DA5">
        <f>BDS("YDKN US Equity","SUPPLY_CHAIN_CUSTOMERS_FULL_DATA")</f>
        <v/>
      </c>
      <c r="DQ5">
        <f>BDS("CF US Equity","SUPPLY_CHAIN_SUPPLIERS_FULL_DATA")</f>
        <v/>
      </c>
      <c r="EE5">
        <f>BDS("CF US Equity","SUPPLY_CHAIN_CUSTOMERS_FULL_DATA")</f>
        <v/>
      </c>
      <c r="EU5">
        <f>BDS("JNJ US Equity","SUPPLY_CHAIN_SUPPLIERS_FULL_DATA")</f>
        <v/>
      </c>
      <c r="FI5">
        <f>BDS("JNJ US Equity","SUPPLY_CHAIN_CUSTOMERS_FULL_DATA")</f>
        <v/>
      </c>
      <c r="FY5">
        <f>BDS("PPBI US Equity","SUPPLY_CHAIN_SUPPLIERS_FULL_DATA")</f>
        <v/>
      </c>
      <c r="GM5">
        <f>BDS("PPBI US Equity","SUPPLY_CHAIN_CUSTOMERS_FULL_DATA")</f>
        <v/>
      </c>
      <c r="HC5">
        <f>BDS("EPAC US Equity","SUPPLY_CHAIN_SUPPLIERS_FULL_DATA")</f>
        <v/>
      </c>
      <c r="HQ5">
        <f>BDS("EPAC US Equity","SUPPLY_CHAIN_CUSTOMERS_FULL_DATA")</f>
        <v/>
      </c>
      <c r="IG5">
        <f>BDS("1280712D US Equity","SUPPLY_CHAIN_SUPPLIERS_FULL_DATA")</f>
        <v/>
      </c>
      <c r="IU5">
        <f>BDS("1280712D US Equity","SUPPLY_CHAIN_CUSTOMERS_FULL_DATA")</f>
        <v/>
      </c>
      <c r="JK5">
        <f>BDS("EQC US Equity","SUPPLY_CHAIN_SUPPLIERS_FULL_DATA")</f>
        <v/>
      </c>
      <c r="JY5">
        <f>BDS("EQC US Equity","SUPPLY_CHAIN_CUSTOMERS_FULL_DATA")</f>
        <v/>
      </c>
      <c r="KO5">
        <f>BDS("AVNT US Equity","SUPPLY_CHAIN_SUPPLIERS_FULL_DATA")</f>
        <v/>
      </c>
      <c r="LC5">
        <f>BDS("AVNT US Equity","SUPPLY_CHAIN_CUSTOMERS_FULL_DATA")</f>
        <v/>
      </c>
      <c r="LS5">
        <f>BDS("TFSM US Equity","SUPPLY_CHAIN_SUPPLIERS_FULL_DATA")</f>
        <v/>
      </c>
      <c r="MG5">
        <f>BDS("TFSM US Equity","SUPPLY_CHAIN_CUSTOMERS_FULL_DATA")</f>
        <v/>
      </c>
      <c r="MW5">
        <f>BDS("PXP US Equity","SUPPLY_CHAIN_SUPPLIERS_FULL_DATA")</f>
        <v/>
      </c>
      <c r="NK5">
        <f>BDS("PXP US Equity","SUPPLY_CHAIN_CUSTOMERS_FULL_DATA")</f>
        <v/>
      </c>
      <c r="OA5">
        <f>BDS("EQR US Equity","SUPPLY_CHAIN_SUPPLIERS_FULL_DATA")</f>
        <v/>
      </c>
      <c r="OO5">
        <f>BDS("EQR US Equity","SUPPLY_CHAIN_CUSTOMERS_FULL_DATA")</f>
        <v/>
      </c>
      <c r="PE5">
        <f>BDS("OK US Equity","SUPPLY_CHAIN_SUPPLIERS_FULL_DATA")</f>
        <v/>
      </c>
      <c r="PS5">
        <f>BDS("OK US Equity","SUPPLY_CHAIN_CUSTOMERS_FULL_DATA")</f>
        <v/>
      </c>
      <c r="QI5">
        <f>BDS("CITGQ US Equity","SUPPLY_CHAIN_SUPPLIERS_FULL_DATA")</f>
        <v/>
      </c>
      <c r="QW5">
        <f>BDS("CITGQ US Equity","SUPPLY_CHAIN_CUSTOMERS_FULL_DATA")</f>
        <v/>
      </c>
      <c r="RM5">
        <f>BDS("NUVA US Equity","SUPPLY_CHAIN_SUPPLIERS_FULL_DATA")</f>
        <v/>
      </c>
      <c r="SA5">
        <f>BDS("NUVA US Equity","SUPPLY_CHAIN_CUSTOMERS_FULL_DATA")</f>
        <v/>
      </c>
      <c r="SQ5">
        <f>BDS("ELME US Equity","SUPPLY_CHAIN_SUPPLIERS_FULL_DATA")</f>
        <v/>
      </c>
      <c r="TE5">
        <f>BDS("ELME US Equity","SUPPLY_CHAIN_CUSTOMERS_FULL_DATA")</f>
        <v/>
      </c>
      <c r="TU5">
        <f>BDS("ELAN US Equity","SUPPLY_CHAIN_SUPPLIERS_FULL_DATA")</f>
        <v/>
      </c>
      <c r="UI5">
        <f>BDS("ELAN US Equity","SUPPLY_CHAIN_CUSTOMERS_FULL_DATA")</f>
        <v/>
      </c>
      <c r="UY5">
        <f>BDS("AVID US Equity","SUPPLY_CHAIN_SUPPLIERS_FULL_DATA")</f>
        <v/>
      </c>
      <c r="VM5">
        <f>BDS("AVID US Equity","SUPPLY_CHAIN_CUSTOMERS_FULL_DATA")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2141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2142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2143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2144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2145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2146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2147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2148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2149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2150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2151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2152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2153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2154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2155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2156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2157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2158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2159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2160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2568368D US Equity</t>
        </is>
      </c>
      <c r="AE2" s="3" t="inlineStr">
        <is>
          <t>PBI US Equity</t>
        </is>
      </c>
      <c r="BI2" s="3" t="inlineStr">
        <is>
          <t>VLY US Equity</t>
        </is>
      </c>
      <c r="CM2" s="3" t="inlineStr">
        <is>
          <t>WSBC US Equity</t>
        </is>
      </c>
      <c r="DQ2" s="3" t="inlineStr">
        <is>
          <t>NOV US Equity</t>
        </is>
      </c>
      <c r="EU2" s="3" t="inlineStr">
        <is>
          <t>VECO US Equity</t>
        </is>
      </c>
      <c r="FY2" s="3" t="inlineStr">
        <is>
          <t>MBFI US Equity</t>
        </is>
      </c>
      <c r="HC2" s="3" t="inlineStr">
        <is>
          <t>NWACQ US Equity</t>
        </is>
      </c>
      <c r="IG2" s="3" t="inlineStr">
        <is>
          <t>ZION US Equity</t>
        </is>
      </c>
      <c r="JK2" s="3" t="inlineStr">
        <is>
          <t>JNJ US Equity</t>
        </is>
      </c>
      <c r="KO2" s="3" t="inlineStr">
        <is>
          <t>INTU US Equity</t>
        </is>
      </c>
      <c r="LS2" s="3" t="inlineStr">
        <is>
          <t>LLY US Equity</t>
        </is>
      </c>
      <c r="MW2" s="3" t="inlineStr">
        <is>
          <t>MR US Equity</t>
        </is>
      </c>
      <c r="OA2" s="3" t="inlineStr">
        <is>
          <t>HES US Equity</t>
        </is>
      </c>
      <c r="PE2" s="3" t="inlineStr">
        <is>
          <t>UMPQ US Equity</t>
        </is>
      </c>
      <c r="QI2" s="3" t="inlineStr">
        <is>
          <t>TRMB US Equity</t>
        </is>
      </c>
      <c r="RM2" s="3" t="inlineStr">
        <is>
          <t>MTN US Equity</t>
        </is>
      </c>
      <c r="SQ2" s="3" t="inlineStr">
        <is>
          <t>NDSN US Equity</t>
        </is>
      </c>
      <c r="TU2" s="3" t="inlineStr">
        <is>
          <t>ISIL US Equity</t>
        </is>
      </c>
      <c r="UY2" s="3" t="inlineStr">
        <is>
          <t>TFC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BDS("2568368D US Equity","SUPPLY_CHAIN_SUPPLIERS_FULL_DATA")</f>
        <v/>
      </c>
      <c r="O5">
        <f>BDS("2568368D US Equity","SUPPLY_CHAIN_CUSTOMERS_FULL_DATA")</f>
        <v/>
      </c>
      <c r="AE5">
        <f>BDS("PBI US Equity","SUPPLY_CHAIN_SUPPLIERS_FULL_DATA")</f>
        <v/>
      </c>
      <c r="AS5">
        <f>BDS("PBI US Equity","SUPPLY_CHAIN_CUSTOMERS_FULL_DATA")</f>
        <v/>
      </c>
      <c r="BI5">
        <f>BDS("VLY US Equity","SUPPLY_CHAIN_SUPPLIERS_FULL_DATA")</f>
        <v/>
      </c>
      <c r="BW5">
        <f>BDS("VLY US Equity","SUPPLY_CHAIN_CUSTOMERS_FULL_DATA")</f>
        <v/>
      </c>
      <c r="CM5">
        <f>BDS("WSBC US Equity","SUPPLY_CHAIN_SUPPLIERS_FULL_DATA")</f>
        <v/>
      </c>
      <c r="DA5">
        <f>BDS("WSBC US Equity","SUPPLY_CHAIN_CUSTOMERS_FULL_DATA")</f>
        <v/>
      </c>
      <c r="DQ5">
        <f>BDS("NOV US Equity","SUPPLY_CHAIN_SUPPLIERS_FULL_DATA")</f>
        <v/>
      </c>
      <c r="EE5">
        <f>BDS("NOV US Equity","SUPPLY_CHAIN_CUSTOMERS_FULL_DATA")</f>
        <v/>
      </c>
      <c r="EU5">
        <f>BDS("VECO US Equity","SUPPLY_CHAIN_SUPPLIERS_FULL_DATA")</f>
        <v/>
      </c>
      <c r="FI5">
        <f>BDS("VECO US Equity","SUPPLY_CHAIN_CUSTOMERS_FULL_DATA")</f>
        <v/>
      </c>
      <c r="FY5">
        <f>BDS("MBFI US Equity","SUPPLY_CHAIN_SUPPLIERS_FULL_DATA")</f>
        <v/>
      </c>
      <c r="GM5">
        <f>BDS("MBFI US Equity","SUPPLY_CHAIN_CUSTOMERS_FULL_DATA")</f>
        <v/>
      </c>
      <c r="HC5">
        <f>BDS("NWACQ US Equity","SUPPLY_CHAIN_SUPPLIERS_FULL_DATA")</f>
        <v/>
      </c>
      <c r="HQ5">
        <f>BDS("NWACQ US Equity","SUPPLY_CHAIN_CUSTOMERS_FULL_DATA")</f>
        <v/>
      </c>
      <c r="IG5">
        <f>BDS("ZION US Equity","SUPPLY_CHAIN_SUPPLIERS_FULL_DATA")</f>
        <v/>
      </c>
      <c r="IU5">
        <f>BDS("ZION US Equity","SUPPLY_CHAIN_CUSTOMERS_FULL_DATA")</f>
        <v/>
      </c>
      <c r="JK5">
        <f>BDS("JNJ US Equity","SUPPLY_CHAIN_SUPPLIERS_FULL_DATA")</f>
        <v/>
      </c>
      <c r="JY5">
        <f>BDS("JNJ US Equity","SUPPLY_CHAIN_CUSTOMERS_FULL_DATA")</f>
        <v/>
      </c>
      <c r="KO5">
        <f>BDS("INTU US Equity","SUPPLY_CHAIN_SUPPLIERS_FULL_DATA")</f>
        <v/>
      </c>
      <c r="LC5">
        <f>BDS("INTU US Equity","SUPPLY_CHAIN_CUSTOMERS_FULL_DATA")</f>
        <v/>
      </c>
      <c r="LS5">
        <f>BDS("LLY US Equity","SUPPLY_CHAIN_SUPPLIERS_FULL_DATA")</f>
        <v/>
      </c>
      <c r="MG5">
        <f>BDS("LLY US Equity","SUPPLY_CHAIN_CUSTOMERS_FULL_DATA")</f>
        <v/>
      </c>
      <c r="MW5">
        <f>BDS("MR US Equity","SUPPLY_CHAIN_SUPPLIERS_FULL_DATA")</f>
        <v/>
      </c>
      <c r="NK5">
        <f>BDS("MR US Equity","SUPPLY_CHAIN_CUSTOMERS_FULL_DATA")</f>
        <v/>
      </c>
      <c r="OA5">
        <f>BDS("HES US Equity","SUPPLY_CHAIN_SUPPLIERS_FULL_DATA")</f>
        <v/>
      </c>
      <c r="OO5">
        <f>BDS("HES US Equity","SUPPLY_CHAIN_CUSTOMERS_FULL_DATA")</f>
        <v/>
      </c>
      <c r="PE5">
        <f>BDS("UMPQ US Equity","SUPPLY_CHAIN_SUPPLIERS_FULL_DATA")</f>
        <v/>
      </c>
      <c r="PS5">
        <f>BDS("UMPQ US Equity","SUPPLY_CHAIN_CUSTOMERS_FULL_DATA")</f>
        <v/>
      </c>
      <c r="QI5">
        <f>BDS("TRMB US Equity","SUPPLY_CHAIN_SUPPLIERS_FULL_DATA")</f>
        <v/>
      </c>
      <c r="QW5">
        <f>BDS("TRMB US Equity","SUPPLY_CHAIN_CUSTOMERS_FULL_DATA")</f>
        <v/>
      </c>
      <c r="RM5">
        <f>BDS("MTN US Equity","SUPPLY_CHAIN_SUPPLIERS_FULL_DATA")</f>
        <v/>
      </c>
      <c r="SA5">
        <f>BDS("MTN US Equity","SUPPLY_CHAIN_CUSTOMERS_FULL_DATA")</f>
        <v/>
      </c>
      <c r="SQ5">
        <f>BDS("NDSN US Equity","SUPPLY_CHAIN_SUPPLIERS_FULL_DATA")</f>
        <v/>
      </c>
      <c r="TE5">
        <f>BDS("NDSN US Equity","SUPPLY_CHAIN_CUSTOMERS_FULL_DATA")</f>
        <v/>
      </c>
      <c r="TU5">
        <f>BDS("ISIL US Equity","SUPPLY_CHAIN_SUPPLIERS_FULL_DATA")</f>
        <v/>
      </c>
      <c r="UI5">
        <f>BDS("ISIL US Equity","SUPPLY_CHAIN_CUSTOMERS_FULL_DATA")</f>
        <v/>
      </c>
      <c r="UY5">
        <f>BDS("TFC US Equity","SUPPLY_CHAIN_SUPPLIERS_FULL_DATA")</f>
        <v/>
      </c>
      <c r="VM5">
        <f>BDS("TFC US Equity","SUPPLY_CHAIN_CUSTOMERS_FULL_DATA")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2161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2162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2163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2164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2165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2166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2167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2168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2169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2170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2171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2172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2173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2174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2175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2176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2177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2178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2179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2180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2326248D US Equity</t>
        </is>
      </c>
      <c r="AE2" s="3" t="inlineStr">
        <is>
          <t>CFR US Equity</t>
        </is>
      </c>
      <c r="BI2" s="3" t="inlineStr">
        <is>
          <t>TPB US Equity</t>
        </is>
      </c>
      <c r="CM2" s="3" t="inlineStr">
        <is>
          <t>TFC US Equity</t>
        </is>
      </c>
      <c r="DQ2" s="3" t="inlineStr">
        <is>
          <t>MDF US Equity</t>
        </is>
      </c>
      <c r="EU2" s="3" t="inlineStr">
        <is>
          <t>IBOC US Equity</t>
        </is>
      </c>
      <c r="FY2" s="3" t="inlineStr">
        <is>
          <t>MTB US Equity</t>
        </is>
      </c>
      <c r="HC2" s="3" t="inlineStr">
        <is>
          <t>TRV US Equity</t>
        </is>
      </c>
      <c r="IG2" s="3" t="inlineStr">
        <is>
          <t>WNC US Equity</t>
        </is>
      </c>
      <c r="JK2" s="3" t="inlineStr">
        <is>
          <t>ONIT US Equity</t>
        </is>
      </c>
      <c r="KO2" s="3" t="inlineStr">
        <is>
          <t>CVX US Equity</t>
        </is>
      </c>
      <c r="LS2" s="3" t="inlineStr">
        <is>
          <t>DKS US Equity</t>
        </is>
      </c>
      <c r="MW2" s="3" t="inlineStr">
        <is>
          <t>STCN US Equity</t>
        </is>
      </c>
      <c r="OA2" s="3" t="inlineStr">
        <is>
          <t>JPM US Equity</t>
        </is>
      </c>
      <c r="PE2" s="3" t="inlineStr">
        <is>
          <t>PB US Equity</t>
        </is>
      </c>
      <c r="QI2" s="3" t="inlineStr">
        <is>
          <t>NUAN US Equity</t>
        </is>
      </c>
      <c r="RM2" s="3" t="inlineStr">
        <is>
          <t>JNY US Equity</t>
        </is>
      </c>
      <c r="SQ2" s="3" t="inlineStr">
        <is>
          <t>AZTA US Equity</t>
        </is>
      </c>
      <c r="TU2" s="3" t="inlineStr">
        <is>
          <t>STL US Equity</t>
        </is>
      </c>
      <c r="UY2" s="3" t="inlineStr">
        <is>
          <t>MTB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BDS("2326248D US Equity","SUPPLY_CHAIN_SUPPLIERS_FULL_DATA")</f>
        <v/>
      </c>
      <c r="O5">
        <f>BDS("2326248D US Equity","SUPPLY_CHAIN_CUSTOMERS_FULL_DATA")</f>
        <v/>
      </c>
      <c r="AE5">
        <f>BDS("CFR US Equity","SUPPLY_CHAIN_SUPPLIERS_FULL_DATA")</f>
        <v/>
      </c>
      <c r="AS5">
        <f>BDS("CFR US Equity","SUPPLY_CHAIN_CUSTOMERS_FULL_DATA")</f>
        <v/>
      </c>
      <c r="BI5">
        <f>BDS("TPB US Equity","SUPPLY_CHAIN_SUPPLIERS_FULL_DATA")</f>
        <v/>
      </c>
      <c r="BW5">
        <f>BDS("TPB US Equity","SUPPLY_CHAIN_CUSTOMERS_FULL_DATA")</f>
        <v/>
      </c>
      <c r="CM5">
        <f>BDS("TFC US Equity","SUPPLY_CHAIN_SUPPLIERS_FULL_DATA")</f>
        <v/>
      </c>
      <c r="DA5">
        <f>BDS("TFC US Equity","SUPPLY_CHAIN_CUSTOMERS_FULL_DATA")</f>
        <v/>
      </c>
      <c r="DQ5">
        <f>BDS("MDF US Equity","SUPPLY_CHAIN_SUPPLIERS_FULL_DATA")</f>
        <v/>
      </c>
      <c r="EE5">
        <f>BDS("MDF US Equity","SUPPLY_CHAIN_CUSTOMERS_FULL_DATA")</f>
        <v/>
      </c>
      <c r="EU5">
        <f>BDS("IBOC US Equity","SUPPLY_CHAIN_SUPPLIERS_FULL_DATA")</f>
        <v/>
      </c>
      <c r="FI5">
        <f>BDS("IBOC US Equity","SUPPLY_CHAIN_CUSTOMERS_FULL_DATA")</f>
        <v/>
      </c>
      <c r="FY5">
        <f>BDS("MTB US Equity","SUPPLY_CHAIN_SUPPLIERS_FULL_DATA")</f>
        <v/>
      </c>
      <c r="GM5">
        <f>BDS("MTB US Equity","SUPPLY_CHAIN_CUSTOMERS_FULL_DATA")</f>
        <v/>
      </c>
      <c r="HC5">
        <f>BDS("TRV US Equity","SUPPLY_CHAIN_SUPPLIERS_FULL_DATA")</f>
        <v/>
      </c>
      <c r="HQ5">
        <f>BDS("TRV US Equity","SUPPLY_CHAIN_CUSTOMERS_FULL_DATA")</f>
        <v/>
      </c>
      <c r="IG5">
        <f>BDS("WNC US Equity","SUPPLY_CHAIN_SUPPLIERS_FULL_DATA")</f>
        <v/>
      </c>
      <c r="IU5">
        <f>BDS("WNC US Equity","SUPPLY_CHAIN_CUSTOMERS_FULL_DATA")</f>
        <v/>
      </c>
      <c r="JK5">
        <f>BDS("ONIT US Equity","SUPPLY_CHAIN_SUPPLIERS_FULL_DATA")</f>
        <v/>
      </c>
      <c r="JY5">
        <f>BDS("ONIT US Equity","SUPPLY_CHAIN_CUSTOMERS_FULL_DATA")</f>
        <v/>
      </c>
      <c r="KO5">
        <f>BDS("CVX US Equity","SUPPLY_CHAIN_SUPPLIERS_FULL_DATA")</f>
        <v/>
      </c>
      <c r="LC5">
        <f>BDS("CVX US Equity","SUPPLY_CHAIN_CUSTOMERS_FULL_DATA")</f>
        <v/>
      </c>
      <c r="LS5">
        <f>BDS("DKS US Equity","SUPPLY_CHAIN_SUPPLIERS_FULL_DATA")</f>
        <v/>
      </c>
      <c r="MG5">
        <f>BDS("DKS US Equity","SUPPLY_CHAIN_CUSTOMERS_FULL_DATA")</f>
        <v/>
      </c>
      <c r="MW5">
        <f>BDS("STCN US Equity","SUPPLY_CHAIN_SUPPLIERS_FULL_DATA")</f>
        <v/>
      </c>
      <c r="NK5">
        <f>BDS("STCN US Equity","SUPPLY_CHAIN_CUSTOMERS_FULL_DATA")</f>
        <v/>
      </c>
      <c r="OA5">
        <f>BDS("JPM US Equity","SUPPLY_CHAIN_SUPPLIERS_FULL_DATA")</f>
        <v/>
      </c>
      <c r="OO5">
        <f>BDS("JPM US Equity","SUPPLY_CHAIN_CUSTOMERS_FULL_DATA")</f>
        <v/>
      </c>
      <c r="PE5">
        <f>BDS("PB US Equity","SUPPLY_CHAIN_SUPPLIERS_FULL_DATA")</f>
        <v/>
      </c>
      <c r="PS5">
        <f>BDS("PB US Equity","SUPPLY_CHAIN_CUSTOMERS_FULL_DATA")</f>
        <v/>
      </c>
      <c r="QI5">
        <f>BDS("NUAN US Equity","SUPPLY_CHAIN_SUPPLIERS_FULL_DATA")</f>
        <v/>
      </c>
      <c r="QW5">
        <f>BDS("NUAN US Equity","SUPPLY_CHAIN_CUSTOMERS_FULL_DATA")</f>
        <v/>
      </c>
      <c r="RM5">
        <f>BDS("JNY US Equity","SUPPLY_CHAIN_SUPPLIERS_FULL_DATA")</f>
        <v/>
      </c>
      <c r="SA5">
        <f>BDS("JNY US Equity","SUPPLY_CHAIN_CUSTOMERS_FULL_DATA")</f>
        <v/>
      </c>
      <c r="SQ5">
        <f>BDS("AZTA US Equity","SUPPLY_CHAIN_SUPPLIERS_FULL_DATA")</f>
        <v/>
      </c>
      <c r="TE5">
        <f>BDS("AZTA US Equity","SUPPLY_CHAIN_CUSTOMERS_FULL_DATA")</f>
        <v/>
      </c>
      <c r="TU5">
        <f>BDS("STL US Equity","SUPPLY_CHAIN_SUPPLIERS_FULL_DATA")</f>
        <v/>
      </c>
      <c r="UI5">
        <f>BDS("STL US Equity","SUPPLY_CHAIN_CUSTOMERS_FULL_DATA")</f>
        <v/>
      </c>
      <c r="UY5">
        <f>BDS("MTB US Equity","SUPPLY_CHAIN_SUPPLIERS_FULL_DATA")</f>
        <v/>
      </c>
      <c r="VM5">
        <f>BDS("MTB US Equity","SUPPLY_CHAIN_CUSTOMERS_FULL_DATA")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2181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2182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2183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2184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2185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2186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2187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2188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2189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2190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2191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2192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2193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2194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2195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2196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2197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2198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2199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2200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WAMUQ US Equity</t>
        </is>
      </c>
      <c r="AE2" s="3" t="inlineStr">
        <is>
          <t>RC US Equity</t>
        </is>
      </c>
      <c r="BI2" s="3" t="inlineStr">
        <is>
          <t>27749Z US Equity</t>
        </is>
      </c>
      <c r="CM2" s="3" t="inlineStr">
        <is>
          <t>HAIN US Equity</t>
        </is>
      </c>
      <c r="DQ2" s="3" t="inlineStr">
        <is>
          <t>TFC US Equity</t>
        </is>
      </c>
      <c r="EU2" s="3" t="inlineStr">
        <is>
          <t>LGND US Equity</t>
        </is>
      </c>
      <c r="FY2" s="3" t="inlineStr">
        <is>
          <t>TISI US Equity</t>
        </is>
      </c>
      <c r="HC2" s="3" t="inlineStr">
        <is>
          <t>838969Q US Equity</t>
        </is>
      </c>
      <c r="IG2" s="3" t="inlineStr">
        <is>
          <t>CSCO US Equity</t>
        </is>
      </c>
      <c r="JK2" s="3" t="inlineStr">
        <is>
          <t>JNJ US Equity</t>
        </is>
      </c>
      <c r="KO2" s="3" t="inlineStr">
        <is>
          <t>SFNT US Equity</t>
        </is>
      </c>
      <c r="LS2" s="3" t="inlineStr">
        <is>
          <t>EMN US Equity</t>
        </is>
      </c>
      <c r="MW2" s="3" t="inlineStr">
        <is>
          <t>1260972D US Equity</t>
        </is>
      </c>
      <c r="OA2" s="3" t="inlineStr">
        <is>
          <t>FNB US Equity</t>
        </is>
      </c>
      <c r="PE2" s="3" t="inlineStr">
        <is>
          <t>UBNK US Equity</t>
        </is>
      </c>
      <c r="QI2" s="3" t="inlineStr">
        <is>
          <t>MDAS US Equity</t>
        </is>
      </c>
      <c r="RM2" s="3" t="inlineStr">
        <is>
          <t>1778808D US Equity</t>
        </is>
      </c>
      <c r="SQ2" s="3" t="inlineStr">
        <is>
          <t>ORCL US Equity</t>
        </is>
      </c>
      <c r="TU2" s="3" t="inlineStr">
        <is>
          <t>SSB US Equity</t>
        </is>
      </c>
      <c r="UY2" s="3" t="inlineStr">
        <is>
          <t>FGPRQ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BDS("WAMUQ US Equity","SUPPLY_CHAIN_SUPPLIERS_FULL_DATA")</f>
        <v/>
      </c>
      <c r="O5">
        <f>BDS("WAMUQ US Equity","SUPPLY_CHAIN_CUSTOMERS_FULL_DATA")</f>
        <v/>
      </c>
      <c r="AE5">
        <f>BDS("RC US Equity","SUPPLY_CHAIN_SUPPLIERS_FULL_DATA")</f>
        <v/>
      </c>
      <c r="AS5">
        <f>BDS("RC US Equity","SUPPLY_CHAIN_CUSTOMERS_FULL_DATA")</f>
        <v/>
      </c>
      <c r="BI5">
        <f>BDS("27749Z US Equity","SUPPLY_CHAIN_SUPPLIERS_FULL_DATA")</f>
        <v/>
      </c>
      <c r="BW5">
        <f>BDS("27749Z US Equity","SUPPLY_CHAIN_CUSTOMERS_FULL_DATA")</f>
        <v/>
      </c>
      <c r="CM5">
        <f>BDS("HAIN US Equity","SUPPLY_CHAIN_SUPPLIERS_FULL_DATA")</f>
        <v/>
      </c>
      <c r="DA5">
        <f>BDS("HAIN US Equity","SUPPLY_CHAIN_CUSTOMERS_FULL_DATA")</f>
        <v/>
      </c>
      <c r="DQ5">
        <f>BDS("TFC US Equity","SUPPLY_CHAIN_SUPPLIERS_FULL_DATA")</f>
        <v/>
      </c>
      <c r="EE5">
        <f>BDS("TFC US Equity","SUPPLY_CHAIN_CUSTOMERS_FULL_DATA")</f>
        <v/>
      </c>
      <c r="EU5">
        <f>BDS("LGND US Equity","SUPPLY_CHAIN_SUPPLIERS_FULL_DATA")</f>
        <v/>
      </c>
      <c r="FI5">
        <f>BDS("LGND US Equity","SUPPLY_CHAIN_CUSTOMERS_FULL_DATA")</f>
        <v/>
      </c>
      <c r="FY5">
        <f>BDS("TISI US Equity","SUPPLY_CHAIN_SUPPLIERS_FULL_DATA")</f>
        <v/>
      </c>
      <c r="GM5">
        <f>BDS("TISI US Equity","SUPPLY_CHAIN_CUSTOMERS_FULL_DATA")</f>
        <v/>
      </c>
      <c r="HC5">
        <f>BDS("838969Q US Equity","SUPPLY_CHAIN_SUPPLIERS_FULL_DATA")</f>
        <v/>
      </c>
      <c r="HQ5">
        <f>BDS("838969Q US Equity","SUPPLY_CHAIN_CUSTOMERS_FULL_DATA")</f>
        <v/>
      </c>
      <c r="IG5">
        <f>BDS("CSCO US Equity","SUPPLY_CHAIN_SUPPLIERS_FULL_DATA")</f>
        <v/>
      </c>
      <c r="IU5">
        <f>BDS("CSCO US Equity","SUPPLY_CHAIN_CUSTOMERS_FULL_DATA")</f>
        <v/>
      </c>
      <c r="JK5">
        <f>BDS("JNJ US Equity","SUPPLY_CHAIN_SUPPLIERS_FULL_DATA")</f>
        <v/>
      </c>
      <c r="JY5">
        <f>BDS("JNJ US Equity","SUPPLY_CHAIN_CUSTOMERS_FULL_DATA")</f>
        <v/>
      </c>
      <c r="KO5">
        <f>BDS("SFNT US Equity","SUPPLY_CHAIN_SUPPLIERS_FULL_DATA")</f>
        <v/>
      </c>
      <c r="LC5">
        <f>BDS("SFNT US Equity","SUPPLY_CHAIN_CUSTOMERS_FULL_DATA")</f>
        <v/>
      </c>
      <c r="LS5">
        <f>BDS("EMN US Equity","SUPPLY_CHAIN_SUPPLIERS_FULL_DATA")</f>
        <v/>
      </c>
      <c r="MG5">
        <f>BDS("EMN US Equity","SUPPLY_CHAIN_CUSTOMERS_FULL_DATA")</f>
        <v/>
      </c>
      <c r="MW5">
        <f>BDS("1260972D US Equity","SUPPLY_CHAIN_SUPPLIERS_FULL_DATA")</f>
        <v/>
      </c>
      <c r="NK5">
        <f>BDS("1260972D US Equity","SUPPLY_CHAIN_CUSTOMERS_FULL_DATA")</f>
        <v/>
      </c>
      <c r="OA5">
        <f>BDS("FNB US Equity","SUPPLY_CHAIN_SUPPLIERS_FULL_DATA")</f>
        <v/>
      </c>
      <c r="OO5">
        <f>BDS("FNB US Equity","SUPPLY_CHAIN_CUSTOMERS_FULL_DATA")</f>
        <v/>
      </c>
      <c r="PE5">
        <f>BDS("UBNK US Equity","SUPPLY_CHAIN_SUPPLIERS_FULL_DATA")</f>
        <v/>
      </c>
      <c r="PS5">
        <f>BDS("UBNK US Equity","SUPPLY_CHAIN_CUSTOMERS_FULL_DATA")</f>
        <v/>
      </c>
      <c r="QI5">
        <f>BDS("MDAS US Equity","SUPPLY_CHAIN_SUPPLIERS_FULL_DATA")</f>
        <v/>
      </c>
      <c r="QW5">
        <f>BDS("MDAS US Equity","SUPPLY_CHAIN_CUSTOMERS_FULL_DATA")</f>
        <v/>
      </c>
      <c r="RM5">
        <f>BDS("1778808D US Equity","SUPPLY_CHAIN_SUPPLIERS_FULL_DATA")</f>
        <v/>
      </c>
      <c r="SA5">
        <f>BDS("1778808D US Equity","SUPPLY_CHAIN_CUSTOMERS_FULL_DATA")</f>
        <v/>
      </c>
      <c r="SQ5">
        <f>BDS("ORCL US Equity","SUPPLY_CHAIN_SUPPLIERS_FULL_DATA")</f>
        <v/>
      </c>
      <c r="TE5">
        <f>BDS("ORCL US Equity","SUPPLY_CHAIN_CUSTOMERS_FULL_DATA")</f>
        <v/>
      </c>
      <c r="TU5">
        <f>BDS("SSB US Equity","SUPPLY_CHAIN_SUPPLIERS_FULL_DATA")</f>
        <v/>
      </c>
      <c r="UI5">
        <f>BDS("SSB US Equity","SUPPLY_CHAIN_CUSTOMERS_FULL_DATA")</f>
        <v/>
      </c>
      <c r="UY5">
        <f>BDS("FGPRQ US Equity","SUPPLY_CHAIN_SUPPLIERS_FULL_DATA")</f>
        <v/>
      </c>
      <c r="VM5">
        <f>BDS("FGPRQ US Equity","SUPPLY_CHAIN_CUSTOMERS_FULL_DATA")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2201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2202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2203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2204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2205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2206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2207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2208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2209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2210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2211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2212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2213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2214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2215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2216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2217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2218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2219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2220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3388162Z US Equity</t>
        </is>
      </c>
      <c r="AE2" s="3" t="inlineStr">
        <is>
          <t>3461945Q US Equity</t>
        </is>
      </c>
      <c r="BI2" s="3" t="inlineStr">
        <is>
          <t>TCR US Equity</t>
        </is>
      </c>
      <c r="CM2" s="3" t="inlineStr">
        <is>
          <t>HPQ US Equity</t>
        </is>
      </c>
      <c r="DQ2" s="3" t="inlineStr">
        <is>
          <t>1577770D US Equity</t>
        </is>
      </c>
      <c r="EU2" s="3" t="inlineStr">
        <is>
          <t>ELNK US Equity</t>
        </is>
      </c>
      <c r="FY2" s="3" t="inlineStr">
        <is>
          <t>PRTK US Equity</t>
        </is>
      </c>
      <c r="HC2" s="3" t="inlineStr">
        <is>
          <t>EGHDQ US Equity</t>
        </is>
      </c>
      <c r="IG2" s="3" t="inlineStr">
        <is>
          <t>1715399D US Equity</t>
        </is>
      </c>
      <c r="JK2" s="3" t="inlineStr">
        <is>
          <t>SPNX US Equity</t>
        </is>
      </c>
      <c r="KO2" s="3" t="inlineStr">
        <is>
          <t>CNSL US Equity</t>
        </is>
      </c>
      <c r="LS2" s="3" t="inlineStr">
        <is>
          <t>MSCC US Equity</t>
        </is>
      </c>
      <c r="MW2" s="3" t="inlineStr">
        <is>
          <t>NFB US Equity</t>
        </is>
      </c>
      <c r="OA2" s="3" t="inlineStr">
        <is>
          <t>BUSE US Equity</t>
        </is>
      </c>
      <c r="PE2" s="3" t="inlineStr">
        <is>
          <t>CBF US Equity</t>
        </is>
      </c>
      <c r="QI2" s="3" t="inlineStr">
        <is>
          <t>IDNX US Equity</t>
        </is>
      </c>
      <c r="RM2" s="3" t="inlineStr">
        <is>
          <t>AMAT US Equity</t>
        </is>
      </c>
      <c r="SQ2" s="3" t="inlineStr">
        <is>
          <t>SPOK US Equity</t>
        </is>
      </c>
      <c r="TU2" s="3" t="inlineStr">
        <is>
          <t>BSX US Equity</t>
        </is>
      </c>
      <c r="UY2" s="3" t="inlineStr">
        <is>
          <t>CNSL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BDS("3388162Z US Equity","SUPPLY_CHAIN_SUPPLIERS_FULL_DATA")</f>
        <v/>
      </c>
      <c r="O5">
        <f>BDS("3388162Z US Equity","SUPPLY_CHAIN_CUSTOMERS_FULL_DATA")</f>
        <v/>
      </c>
      <c r="AE5">
        <f>BDS("3461945Q US Equity","SUPPLY_CHAIN_SUPPLIERS_FULL_DATA")</f>
        <v/>
      </c>
      <c r="AS5">
        <f>BDS("3461945Q US Equity","SUPPLY_CHAIN_CUSTOMERS_FULL_DATA")</f>
        <v/>
      </c>
      <c r="BI5">
        <f>BDS("TCR US Equity","SUPPLY_CHAIN_SUPPLIERS_FULL_DATA")</f>
        <v/>
      </c>
      <c r="BW5">
        <f>BDS("TCR US Equity","SUPPLY_CHAIN_CUSTOMERS_FULL_DATA")</f>
        <v/>
      </c>
      <c r="CM5">
        <f>BDS("HPQ US Equity","SUPPLY_CHAIN_SUPPLIERS_FULL_DATA")</f>
        <v/>
      </c>
      <c r="DA5">
        <f>BDS("HPQ US Equity","SUPPLY_CHAIN_CUSTOMERS_FULL_DATA")</f>
        <v/>
      </c>
      <c r="DQ5">
        <f>BDS("1577770D US Equity","SUPPLY_CHAIN_SUPPLIERS_FULL_DATA")</f>
        <v/>
      </c>
      <c r="EE5">
        <f>BDS("1577770D US Equity","SUPPLY_CHAIN_CUSTOMERS_FULL_DATA")</f>
        <v/>
      </c>
      <c r="EU5">
        <f>BDS("ELNK US Equity","SUPPLY_CHAIN_SUPPLIERS_FULL_DATA")</f>
        <v/>
      </c>
      <c r="FI5">
        <f>BDS("ELNK US Equity","SUPPLY_CHAIN_CUSTOMERS_FULL_DATA")</f>
        <v/>
      </c>
      <c r="FY5">
        <f>BDS("PRTK US Equity","SUPPLY_CHAIN_SUPPLIERS_FULL_DATA")</f>
        <v/>
      </c>
      <c r="GM5">
        <f>BDS("PRTK US Equity","SUPPLY_CHAIN_CUSTOMERS_FULL_DATA")</f>
        <v/>
      </c>
      <c r="HC5">
        <f>BDS("EGHDQ US Equity","SUPPLY_CHAIN_SUPPLIERS_FULL_DATA")</f>
        <v/>
      </c>
      <c r="HQ5">
        <f>BDS("EGHDQ US Equity","SUPPLY_CHAIN_CUSTOMERS_FULL_DATA")</f>
        <v/>
      </c>
      <c r="IG5">
        <f>BDS("1715399D US Equity","SUPPLY_CHAIN_SUPPLIERS_FULL_DATA")</f>
        <v/>
      </c>
      <c r="IU5">
        <f>BDS("1715399D US Equity","SUPPLY_CHAIN_CUSTOMERS_FULL_DATA")</f>
        <v/>
      </c>
      <c r="JK5">
        <f>BDS("SPNX US Equity","SUPPLY_CHAIN_SUPPLIERS_FULL_DATA")</f>
        <v/>
      </c>
      <c r="JY5">
        <f>BDS("SPNX US Equity","SUPPLY_CHAIN_CUSTOMERS_FULL_DATA")</f>
        <v/>
      </c>
      <c r="KO5">
        <f>BDS("CNSL US Equity","SUPPLY_CHAIN_SUPPLIERS_FULL_DATA")</f>
        <v/>
      </c>
      <c r="LC5">
        <f>BDS("CNSL US Equity","SUPPLY_CHAIN_CUSTOMERS_FULL_DATA")</f>
        <v/>
      </c>
      <c r="LS5">
        <f>BDS("MSCC US Equity","SUPPLY_CHAIN_SUPPLIERS_FULL_DATA")</f>
        <v/>
      </c>
      <c r="MG5">
        <f>BDS("MSCC US Equity","SUPPLY_CHAIN_CUSTOMERS_FULL_DATA")</f>
        <v/>
      </c>
      <c r="MW5">
        <f>BDS("NFB US Equity","SUPPLY_CHAIN_SUPPLIERS_FULL_DATA")</f>
        <v/>
      </c>
      <c r="NK5">
        <f>BDS("NFB US Equity","SUPPLY_CHAIN_CUSTOMERS_FULL_DATA")</f>
        <v/>
      </c>
      <c r="OA5">
        <f>BDS("BUSE US Equity","SUPPLY_CHAIN_SUPPLIERS_FULL_DATA")</f>
        <v/>
      </c>
      <c r="OO5">
        <f>BDS("BUSE US Equity","SUPPLY_CHAIN_CUSTOMERS_FULL_DATA")</f>
        <v/>
      </c>
      <c r="PE5">
        <f>BDS("CBF US Equity","SUPPLY_CHAIN_SUPPLIERS_FULL_DATA")</f>
        <v/>
      </c>
      <c r="PS5">
        <f>BDS("CBF US Equity","SUPPLY_CHAIN_CUSTOMERS_FULL_DATA")</f>
        <v/>
      </c>
      <c r="QI5">
        <f>BDS("IDNX US Equity","SUPPLY_CHAIN_SUPPLIERS_FULL_DATA")</f>
        <v/>
      </c>
      <c r="QW5">
        <f>BDS("IDNX US Equity","SUPPLY_CHAIN_CUSTOMERS_FULL_DATA")</f>
        <v/>
      </c>
      <c r="RM5">
        <f>BDS("AMAT US Equity","SUPPLY_CHAIN_SUPPLIERS_FULL_DATA")</f>
        <v/>
      </c>
      <c r="SA5">
        <f>BDS("AMAT US Equity","SUPPLY_CHAIN_CUSTOMERS_FULL_DATA")</f>
        <v/>
      </c>
      <c r="SQ5">
        <f>BDS("SPOK US Equity","SUPPLY_CHAIN_SUPPLIERS_FULL_DATA")</f>
        <v/>
      </c>
      <c r="TE5">
        <f>BDS("SPOK US Equity","SUPPLY_CHAIN_CUSTOMERS_FULL_DATA")</f>
        <v/>
      </c>
      <c r="TU5">
        <f>BDS("BSX US Equity","SUPPLY_CHAIN_SUPPLIERS_FULL_DATA")</f>
        <v/>
      </c>
      <c r="UI5">
        <f>BDS("BSX US Equity","SUPPLY_CHAIN_CUSTOMERS_FULL_DATA")</f>
        <v/>
      </c>
      <c r="UY5">
        <f>BDS("CNSL US Equity","SUPPLY_CHAIN_SUPPLIERS_FULL_DATA")</f>
        <v/>
      </c>
      <c r="VM5">
        <f>BDS("CNSL US Equity","SUPPLY_CHAIN_CUSTOMERS_FULL_DATA")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2221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2222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2223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2224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2225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2226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2227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2228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2229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2230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2231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2232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2233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2234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2235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2236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2237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2238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2239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2240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SWY US Equity</t>
        </is>
      </c>
      <c r="BI2" s="3" t="inlineStr">
        <is>
          <t>41018Q US Equity</t>
        </is>
      </c>
      <c r="CM2" s="3" t="inlineStr">
        <is>
          <t>BGCP US Equity</t>
        </is>
      </c>
      <c r="DQ2" s="3" t="inlineStr">
        <is>
          <t>GUIC US Equity</t>
        </is>
      </c>
      <c r="EU2" s="3" t="inlineStr">
        <is>
          <t>BDX US Equity</t>
        </is>
      </c>
      <c r="FY2" s="3" t="inlineStr">
        <is>
          <t>3122066Q US Equity</t>
        </is>
      </c>
      <c r="HC2" s="3" t="inlineStr">
        <is>
          <t>DHR US Equity</t>
        </is>
      </c>
      <c r="IG2" s="3" t="inlineStr">
        <is>
          <t>594202Q US Equity</t>
        </is>
      </c>
      <c r="JK2" s="3" t="inlineStr">
        <is>
          <t>DGX US Equity</t>
        </is>
      </c>
      <c r="KO2" s="3" t="inlineStr">
        <is>
          <t>NOVT US Equity</t>
        </is>
      </c>
      <c r="LS2" s="3" t="inlineStr">
        <is>
          <t>3097837Q US Equity</t>
        </is>
      </c>
      <c r="MW2" s="3" t="inlineStr">
        <is>
          <t>9994967D US Equity</t>
        </is>
      </c>
      <c r="OA2" s="3" t="inlineStr">
        <is>
          <t>SUSQ US Equity</t>
        </is>
      </c>
      <c r="PE2" s="3" t="inlineStr">
        <is>
          <t>MTB US Equity</t>
        </is>
      </c>
      <c r="QI2" s="3" t="inlineStr">
        <is>
          <t>INGR US Equity</t>
        </is>
      </c>
      <c r="RM2" s="3" t="inlineStr">
        <is>
          <t>NWBI US Equity</t>
        </is>
      </c>
      <c r="SQ2" s="3" t="inlineStr">
        <is>
          <t>RWY US Equity</t>
        </is>
      </c>
      <c r="TU2" s="3" t="inlineStr">
        <is>
          <t>FNFG US Equity</t>
        </is>
      </c>
      <c r="UY2" s="3" t="inlineStr">
        <is>
          <t>ATBA AV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BDS("SWY US Equity","SUPPLY_CHAIN_SUPPLIERS_FULL_DATA")</f>
        <v/>
      </c>
      <c r="AS5">
        <f>BDS("SWY US Equity","SUPPLY_CHAIN_CUSTOMERS_FULL_DATA")</f>
        <v/>
      </c>
      <c r="BI5">
        <f>BDS("41018Q US Equity","SUPPLY_CHAIN_SUPPLIERS_FULL_DATA")</f>
        <v/>
      </c>
      <c r="BW5">
        <f>BDS("41018Q US Equity","SUPPLY_CHAIN_CUSTOMERS_FULL_DATA")</f>
        <v/>
      </c>
      <c r="CM5">
        <f>BDS("BGCP US Equity","SUPPLY_CHAIN_SUPPLIERS_FULL_DATA")</f>
        <v/>
      </c>
      <c r="DA5">
        <f>BDS("BGCP US Equity","SUPPLY_CHAIN_CUSTOMERS_FULL_DATA")</f>
        <v/>
      </c>
      <c r="DQ5">
        <f>BDS("GUIC US Equity","SUPPLY_CHAIN_SUPPLIERS_FULL_DATA")</f>
        <v/>
      </c>
      <c r="EE5">
        <f>BDS("GUIC US Equity","SUPPLY_CHAIN_CUSTOMERS_FULL_DATA")</f>
        <v/>
      </c>
      <c r="EU5">
        <f>BDS("BDX US Equity","SUPPLY_CHAIN_SUPPLIERS_FULL_DATA")</f>
        <v/>
      </c>
      <c r="FI5">
        <f>BDS("BDX US Equity","SUPPLY_CHAIN_CUSTOMERS_FULL_DATA")</f>
        <v/>
      </c>
      <c r="FY5">
        <f>BDS("3122066Q US Equity","SUPPLY_CHAIN_SUPPLIERS_FULL_DATA")</f>
        <v/>
      </c>
      <c r="GM5">
        <f>BDS("3122066Q US Equity","SUPPLY_CHAIN_CUSTOMERS_FULL_DATA")</f>
        <v/>
      </c>
      <c r="HC5">
        <f>BDS("DHR US Equity","SUPPLY_CHAIN_SUPPLIERS_FULL_DATA")</f>
        <v/>
      </c>
      <c r="HQ5">
        <f>BDS("DHR US Equity","SUPPLY_CHAIN_CUSTOMERS_FULL_DATA")</f>
        <v/>
      </c>
      <c r="IG5">
        <f>BDS("594202Q US Equity","SUPPLY_CHAIN_SUPPLIERS_FULL_DATA")</f>
        <v/>
      </c>
      <c r="IU5">
        <f>BDS("594202Q US Equity","SUPPLY_CHAIN_CUSTOMERS_FULL_DATA")</f>
        <v/>
      </c>
      <c r="JK5">
        <f>BDS("DGX US Equity","SUPPLY_CHAIN_SUPPLIERS_FULL_DATA")</f>
        <v/>
      </c>
      <c r="JY5">
        <f>BDS("DGX US Equity","SUPPLY_CHAIN_CUSTOMERS_FULL_DATA")</f>
        <v/>
      </c>
      <c r="KO5">
        <f>BDS("NOVT US Equity","SUPPLY_CHAIN_SUPPLIERS_FULL_DATA")</f>
        <v/>
      </c>
      <c r="LC5">
        <f>BDS("NOVT US Equity","SUPPLY_CHAIN_CUSTOMERS_FULL_DATA")</f>
        <v/>
      </c>
      <c r="LS5">
        <f>BDS("3097837Q US Equity","SUPPLY_CHAIN_SUPPLIERS_FULL_DATA")</f>
        <v/>
      </c>
      <c r="MG5">
        <f>BDS("3097837Q US Equity","SUPPLY_CHAIN_CUSTOMERS_FULL_DATA")</f>
        <v/>
      </c>
      <c r="MW5">
        <f>BDS("9994967D US Equity","SUPPLY_CHAIN_SUPPLIERS_FULL_DATA")</f>
        <v/>
      </c>
      <c r="NK5">
        <f>BDS("9994967D US Equity","SUPPLY_CHAIN_CUSTOMERS_FULL_DATA")</f>
        <v/>
      </c>
      <c r="OA5">
        <f>BDS("SUSQ US Equity","SUPPLY_CHAIN_SUPPLIERS_FULL_DATA")</f>
        <v/>
      </c>
      <c r="OO5">
        <f>BDS("SUSQ US Equity","SUPPLY_CHAIN_CUSTOMERS_FULL_DATA")</f>
        <v/>
      </c>
      <c r="PE5">
        <f>BDS("MTB US Equity","SUPPLY_CHAIN_SUPPLIERS_FULL_DATA")</f>
        <v/>
      </c>
      <c r="PS5">
        <f>BDS("MTB US Equity","SUPPLY_CHAIN_CUSTOMERS_FULL_DATA")</f>
        <v/>
      </c>
      <c r="QI5">
        <f>BDS("INGR US Equity","SUPPLY_CHAIN_SUPPLIERS_FULL_DATA")</f>
        <v/>
      </c>
      <c r="QW5">
        <f>BDS("INGR US Equity","SUPPLY_CHAIN_CUSTOMERS_FULL_DATA")</f>
        <v/>
      </c>
      <c r="RM5">
        <f>BDS("NWBI US Equity","SUPPLY_CHAIN_SUPPLIERS_FULL_DATA")</f>
        <v/>
      </c>
      <c r="SA5">
        <f>BDS("NWBI US Equity","SUPPLY_CHAIN_CUSTOMERS_FULL_DATA")</f>
        <v/>
      </c>
      <c r="SQ5">
        <f>BDS("RWY US Equity","SUPPLY_CHAIN_SUPPLIERS_FULL_DATA")</f>
        <v/>
      </c>
      <c r="TE5">
        <f>BDS("RWY US Equity","SUPPLY_CHAIN_CUSTOMERS_FULL_DATA")</f>
        <v/>
      </c>
      <c r="TU5">
        <f>BDS("FNFG US Equity","SUPPLY_CHAIN_SUPPLIERS_FULL_DATA")</f>
        <v/>
      </c>
      <c r="UI5">
        <f>BDS("FNFG US Equity","SUPPLY_CHAIN_CUSTOMERS_FULL_DATA")</f>
        <v/>
      </c>
      <c r="UY5">
        <f>BDS("ATBA AV Equity","SUPPLY_CHAIN_SUPPLIERS_FULL_DATA")</f>
        <v/>
      </c>
      <c r="VM5">
        <f>BDS("ATBA AV Equity","SUPPLY_CHAIN_CUSTOMERS_FULL_DATA")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2241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2242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2243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2244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2245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2246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2247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2248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2249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2250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2251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2252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2253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2254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2255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2256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2257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2258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2259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2260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AAPL US Equity</t>
        </is>
      </c>
      <c r="AE2" s="3" t="inlineStr">
        <is>
          <t>DECC US Equity</t>
        </is>
      </c>
      <c r="BI2" s="3" t="inlineStr">
        <is>
          <t>3131657Q US Equity</t>
        </is>
      </c>
      <c r="CM2" s="3" t="inlineStr">
        <is>
          <t>CRL US Equity</t>
        </is>
      </c>
      <c r="DQ2" s="3" t="inlineStr">
        <is>
          <t>EGAN US Equity</t>
        </is>
      </c>
      <c r="EU2" s="3" t="inlineStr">
        <is>
          <t>CSSE US Equity</t>
        </is>
      </c>
      <c r="FY2" s="3" t="inlineStr">
        <is>
          <t>TSA US Equity</t>
        </is>
      </c>
      <c r="HC2" s="3" t="inlineStr">
        <is>
          <t>SPB US Equity</t>
        </is>
      </c>
      <c r="IG2" s="3" t="inlineStr">
        <is>
          <t>SKO US Equity</t>
        </is>
      </c>
      <c r="JK2" s="3" t="inlineStr">
        <is>
          <t>9123456D US Equity</t>
        </is>
      </c>
      <c r="KO2" s="3" t="inlineStr">
        <is>
          <t>236619Q US Equity</t>
        </is>
      </c>
      <c r="LS2" s="3" t="inlineStr">
        <is>
          <t>1740293D US Equity</t>
        </is>
      </c>
      <c r="MW2" s="3" t="inlineStr">
        <is>
          <t>BAC US Equity</t>
        </is>
      </c>
      <c r="OA2" s="3" t="inlineStr">
        <is>
          <t>WINMQ US Equity</t>
        </is>
      </c>
      <c r="PE2" s="3" t="inlineStr">
        <is>
          <t>DHR US Equity</t>
        </is>
      </c>
      <c r="QI2" s="3" t="inlineStr">
        <is>
          <t>9980328D US Equity</t>
        </is>
      </c>
      <c r="RM2" s="3" t="inlineStr">
        <is>
          <t>HU US Equity</t>
        </is>
      </c>
      <c r="SQ2" s="3" t="inlineStr">
        <is>
          <t>DHI US Equity</t>
        </is>
      </c>
      <c r="TU2" s="3" t="inlineStr">
        <is>
          <t>PBI US Equity</t>
        </is>
      </c>
      <c r="UY2" s="3" t="inlineStr">
        <is>
          <t>4513539Q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BDS("AAPL US Equity","SUPPLY_CHAIN_SUPPLIERS_FULL_DATA")</f>
        <v/>
      </c>
      <c r="O5">
        <f>BDS("AAPL US Equity","SUPPLY_CHAIN_CUSTOMERS_FULL_DATA")</f>
        <v/>
      </c>
      <c r="AE5">
        <f>BDS("DECC US Equity","SUPPLY_CHAIN_SUPPLIERS_FULL_DATA")</f>
        <v/>
      </c>
      <c r="AS5">
        <f>BDS("DECC US Equity","SUPPLY_CHAIN_CUSTOMERS_FULL_DATA")</f>
        <v/>
      </c>
      <c r="BI5">
        <f>BDS("3131657Q US Equity","SUPPLY_CHAIN_SUPPLIERS_FULL_DATA")</f>
        <v/>
      </c>
      <c r="BW5">
        <f>BDS("3131657Q US Equity","SUPPLY_CHAIN_CUSTOMERS_FULL_DATA")</f>
        <v/>
      </c>
      <c r="CM5">
        <f>BDS("CRL US Equity","SUPPLY_CHAIN_SUPPLIERS_FULL_DATA")</f>
        <v/>
      </c>
      <c r="DA5">
        <f>BDS("CRL US Equity","SUPPLY_CHAIN_CUSTOMERS_FULL_DATA")</f>
        <v/>
      </c>
      <c r="DQ5">
        <f>BDS("EGAN US Equity","SUPPLY_CHAIN_SUPPLIERS_FULL_DATA")</f>
        <v/>
      </c>
      <c r="EE5">
        <f>BDS("EGAN US Equity","SUPPLY_CHAIN_CUSTOMERS_FULL_DATA")</f>
        <v/>
      </c>
      <c r="EU5">
        <f>BDS("CSSE US Equity","SUPPLY_CHAIN_SUPPLIERS_FULL_DATA")</f>
        <v/>
      </c>
      <c r="FI5">
        <f>BDS("CSSE US Equity","SUPPLY_CHAIN_CUSTOMERS_FULL_DATA")</f>
        <v/>
      </c>
      <c r="FY5">
        <f>BDS("TSA US Equity","SUPPLY_CHAIN_SUPPLIERS_FULL_DATA")</f>
        <v/>
      </c>
      <c r="GM5">
        <f>BDS("TSA US Equity","SUPPLY_CHAIN_CUSTOMERS_FULL_DATA")</f>
        <v/>
      </c>
      <c r="HC5">
        <f>BDS("SPB US Equity","SUPPLY_CHAIN_SUPPLIERS_FULL_DATA")</f>
        <v/>
      </c>
      <c r="HQ5">
        <f>BDS("SPB US Equity","SUPPLY_CHAIN_CUSTOMERS_FULL_DATA")</f>
        <v/>
      </c>
      <c r="IG5">
        <f>BDS("SKO US Equity","SUPPLY_CHAIN_SUPPLIERS_FULL_DATA")</f>
        <v/>
      </c>
      <c r="IU5">
        <f>BDS("SKO US Equity","SUPPLY_CHAIN_CUSTOMERS_FULL_DATA")</f>
        <v/>
      </c>
      <c r="JK5">
        <f>BDS("9123456D US Equity","SUPPLY_CHAIN_SUPPLIERS_FULL_DATA")</f>
        <v/>
      </c>
      <c r="JY5">
        <f>BDS("9123456D US Equity","SUPPLY_CHAIN_CUSTOMERS_FULL_DATA")</f>
        <v/>
      </c>
      <c r="KO5">
        <f>BDS("236619Q US Equity","SUPPLY_CHAIN_SUPPLIERS_FULL_DATA")</f>
        <v/>
      </c>
      <c r="LC5">
        <f>BDS("236619Q US Equity","SUPPLY_CHAIN_CUSTOMERS_FULL_DATA")</f>
        <v/>
      </c>
      <c r="LS5">
        <f>BDS("1740293D US Equity","SUPPLY_CHAIN_SUPPLIERS_FULL_DATA")</f>
        <v/>
      </c>
      <c r="MG5">
        <f>BDS("1740293D US Equity","SUPPLY_CHAIN_CUSTOMERS_FULL_DATA")</f>
        <v/>
      </c>
      <c r="MW5">
        <f>BDS("BAC US Equity","SUPPLY_CHAIN_SUPPLIERS_FULL_DATA")</f>
        <v/>
      </c>
      <c r="NK5">
        <f>BDS("BAC US Equity","SUPPLY_CHAIN_CUSTOMERS_FULL_DATA")</f>
        <v/>
      </c>
      <c r="OA5">
        <f>BDS("WINMQ US Equity","SUPPLY_CHAIN_SUPPLIERS_FULL_DATA")</f>
        <v/>
      </c>
      <c r="OO5">
        <f>BDS("WINMQ US Equity","SUPPLY_CHAIN_CUSTOMERS_FULL_DATA")</f>
        <v/>
      </c>
      <c r="PE5">
        <f>BDS("DHR US Equity","SUPPLY_CHAIN_SUPPLIERS_FULL_DATA")</f>
        <v/>
      </c>
      <c r="PS5">
        <f>BDS("DHR US Equity","SUPPLY_CHAIN_CUSTOMERS_FULL_DATA")</f>
        <v/>
      </c>
      <c r="QI5">
        <f>BDS("9980328D US Equity","SUPPLY_CHAIN_SUPPLIERS_FULL_DATA")</f>
        <v/>
      </c>
      <c r="QW5">
        <f>BDS("9980328D US Equity","SUPPLY_CHAIN_CUSTOMERS_FULL_DATA")</f>
        <v/>
      </c>
      <c r="RM5">
        <f>BDS("HU US Equity","SUPPLY_CHAIN_SUPPLIERS_FULL_DATA")</f>
        <v/>
      </c>
      <c r="SA5">
        <f>BDS("HU US Equity","SUPPLY_CHAIN_CUSTOMERS_FULL_DATA")</f>
        <v/>
      </c>
      <c r="SQ5">
        <f>BDS("DHI US Equity","SUPPLY_CHAIN_SUPPLIERS_FULL_DATA")</f>
        <v/>
      </c>
      <c r="TE5">
        <f>BDS("DHI US Equity","SUPPLY_CHAIN_CUSTOMERS_FULL_DATA")</f>
        <v/>
      </c>
      <c r="TU5">
        <f>BDS("PBI US Equity","SUPPLY_CHAIN_SUPPLIERS_FULL_DATA")</f>
        <v/>
      </c>
      <c r="UI5">
        <f>BDS("PBI US Equity","SUPPLY_CHAIN_CUSTOMERS_FULL_DATA")</f>
        <v/>
      </c>
      <c r="UY5">
        <f>BDS("4513539Q US Equity","SUPPLY_CHAIN_SUPPLIERS_FULL_DATA")</f>
        <v/>
      </c>
      <c r="VM5">
        <f>BDS("4513539Q US Equity","SUPPLY_CHAIN_CUSTOMERS_FULL_DATA")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2261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2262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2263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2264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2265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2266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2267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2268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2269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2270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2271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2272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2273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2274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2275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2276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2277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2278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2279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2280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NKE US Equity</t>
        </is>
      </c>
      <c r="AE2" s="3" t="inlineStr">
        <is>
          <t>APO US Equity</t>
        </is>
      </c>
      <c r="BI2" s="3" t="inlineStr">
        <is>
          <t>CHCO US Equity</t>
        </is>
      </c>
      <c r="CM2" s="3" t="inlineStr">
        <is>
          <t>BGCP US Equity</t>
        </is>
      </c>
      <c r="DQ2" s="3" t="inlineStr">
        <is>
          <t>HRC US Equity</t>
        </is>
      </c>
      <c r="EU2" s="3" t="inlineStr">
        <is>
          <t>JEF US Equity</t>
        </is>
      </c>
      <c r="FY2" s="3" t="inlineStr">
        <is>
          <t>GKNT US Equity</t>
        </is>
      </c>
      <c r="HC2" s="3" t="inlineStr">
        <is>
          <t>LGTO US Equity</t>
        </is>
      </c>
      <c r="IG2" s="3" t="inlineStr">
        <is>
          <t>CG US Equity</t>
        </is>
      </c>
      <c r="JK2" s="3" t="inlineStr">
        <is>
          <t>1709056D US Equity</t>
        </is>
      </c>
      <c r="KO2" s="3" t="inlineStr">
        <is>
          <t>ACDC US Equity</t>
        </is>
      </c>
      <c r="LS2" s="3" t="inlineStr">
        <is>
          <t>MRK US Equity</t>
        </is>
      </c>
      <c r="MW2" s="3" t="inlineStr">
        <is>
          <t>UMPQ US Equity</t>
        </is>
      </c>
      <c r="OA2" s="3" t="inlineStr">
        <is>
          <t>SANM US Equity</t>
        </is>
      </c>
      <c r="PE2" s="3" t="inlineStr">
        <is>
          <t>MKSI US Equity</t>
        </is>
      </c>
      <c r="QI2" s="3" t="inlineStr">
        <is>
          <t>NOV US Equity</t>
        </is>
      </c>
      <c r="RM2" s="3" t="inlineStr">
        <is>
          <t>PBCT US Equity</t>
        </is>
      </c>
      <c r="SQ2" s="3" t="inlineStr">
        <is>
          <t>540513Q US Equity</t>
        </is>
      </c>
      <c r="TU2" s="3" t="inlineStr">
        <is>
          <t>SONE US Equity</t>
        </is>
      </c>
      <c r="UY2" s="3" t="inlineStr">
        <is>
          <t>CBCGQ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BDS("NKE US Equity","SUPPLY_CHAIN_SUPPLIERS_FULL_DATA")</f>
        <v/>
      </c>
      <c r="O5">
        <f>BDS("NKE US Equity","SUPPLY_CHAIN_CUSTOMERS_FULL_DATA")</f>
        <v/>
      </c>
      <c r="AE5">
        <f>BDS("APO US Equity","SUPPLY_CHAIN_SUPPLIERS_FULL_DATA")</f>
        <v/>
      </c>
      <c r="AS5">
        <f>BDS("APO US Equity","SUPPLY_CHAIN_CUSTOMERS_FULL_DATA")</f>
        <v/>
      </c>
      <c r="BI5">
        <f>BDS("CHCO US Equity","SUPPLY_CHAIN_SUPPLIERS_FULL_DATA")</f>
        <v/>
      </c>
      <c r="BW5">
        <f>BDS("CHCO US Equity","SUPPLY_CHAIN_CUSTOMERS_FULL_DATA")</f>
        <v/>
      </c>
      <c r="CM5">
        <f>BDS("BGCP US Equity","SUPPLY_CHAIN_SUPPLIERS_FULL_DATA")</f>
        <v/>
      </c>
      <c r="DA5">
        <f>BDS("BGCP US Equity","SUPPLY_CHAIN_CUSTOMERS_FULL_DATA")</f>
        <v/>
      </c>
      <c r="DQ5">
        <f>BDS("HRC US Equity","SUPPLY_CHAIN_SUPPLIERS_FULL_DATA")</f>
        <v/>
      </c>
      <c r="EE5">
        <f>BDS("HRC US Equity","SUPPLY_CHAIN_CUSTOMERS_FULL_DATA")</f>
        <v/>
      </c>
      <c r="EU5">
        <f>BDS("JEF US Equity","SUPPLY_CHAIN_SUPPLIERS_FULL_DATA")</f>
        <v/>
      </c>
      <c r="FI5">
        <f>BDS("JEF US Equity","SUPPLY_CHAIN_CUSTOMERS_FULL_DATA")</f>
        <v/>
      </c>
      <c r="FY5">
        <f>BDS("GKNT US Equity","SUPPLY_CHAIN_SUPPLIERS_FULL_DATA")</f>
        <v/>
      </c>
      <c r="GM5">
        <f>BDS("GKNT US Equity","SUPPLY_CHAIN_CUSTOMERS_FULL_DATA")</f>
        <v/>
      </c>
      <c r="HC5">
        <f>BDS("LGTO US Equity","SUPPLY_CHAIN_SUPPLIERS_FULL_DATA")</f>
        <v/>
      </c>
      <c r="HQ5">
        <f>BDS("LGTO US Equity","SUPPLY_CHAIN_CUSTOMERS_FULL_DATA")</f>
        <v/>
      </c>
      <c r="IG5">
        <f>BDS("CG US Equity","SUPPLY_CHAIN_SUPPLIERS_FULL_DATA")</f>
        <v/>
      </c>
      <c r="IU5">
        <f>BDS("CG US Equity","SUPPLY_CHAIN_CUSTOMERS_FULL_DATA")</f>
        <v/>
      </c>
      <c r="JK5">
        <f>BDS("1709056D US Equity","SUPPLY_CHAIN_SUPPLIERS_FULL_DATA")</f>
        <v/>
      </c>
      <c r="JY5">
        <f>BDS("1709056D US Equity","SUPPLY_CHAIN_CUSTOMERS_FULL_DATA")</f>
        <v/>
      </c>
      <c r="KO5">
        <f>BDS("ACDC US Equity","SUPPLY_CHAIN_SUPPLIERS_FULL_DATA")</f>
        <v/>
      </c>
      <c r="LC5">
        <f>BDS("ACDC US Equity","SUPPLY_CHAIN_CUSTOMERS_FULL_DATA")</f>
        <v/>
      </c>
      <c r="LS5">
        <f>BDS("MRK US Equity","SUPPLY_CHAIN_SUPPLIERS_FULL_DATA")</f>
        <v/>
      </c>
      <c r="MG5">
        <f>BDS("MRK US Equity","SUPPLY_CHAIN_CUSTOMERS_FULL_DATA")</f>
        <v/>
      </c>
      <c r="MW5">
        <f>BDS("UMPQ US Equity","SUPPLY_CHAIN_SUPPLIERS_FULL_DATA")</f>
        <v/>
      </c>
      <c r="NK5">
        <f>BDS("UMPQ US Equity","SUPPLY_CHAIN_CUSTOMERS_FULL_DATA")</f>
        <v/>
      </c>
      <c r="OA5">
        <f>BDS("SANM US Equity","SUPPLY_CHAIN_SUPPLIERS_FULL_DATA")</f>
        <v/>
      </c>
      <c r="OO5">
        <f>BDS("SANM US Equity","SUPPLY_CHAIN_CUSTOMERS_FULL_DATA")</f>
        <v/>
      </c>
      <c r="PE5">
        <f>BDS("MKSI US Equity","SUPPLY_CHAIN_SUPPLIERS_FULL_DATA")</f>
        <v/>
      </c>
      <c r="PS5">
        <f>BDS("MKSI US Equity","SUPPLY_CHAIN_CUSTOMERS_FULL_DATA")</f>
        <v/>
      </c>
      <c r="QI5">
        <f>BDS("NOV US Equity","SUPPLY_CHAIN_SUPPLIERS_FULL_DATA")</f>
        <v/>
      </c>
      <c r="QW5">
        <f>BDS("NOV US Equity","SUPPLY_CHAIN_CUSTOMERS_FULL_DATA")</f>
        <v/>
      </c>
      <c r="RM5">
        <f>BDS("PBCT US Equity","SUPPLY_CHAIN_SUPPLIERS_FULL_DATA")</f>
        <v/>
      </c>
      <c r="SA5">
        <f>BDS("PBCT US Equity","SUPPLY_CHAIN_CUSTOMERS_FULL_DATA")</f>
        <v/>
      </c>
      <c r="SQ5">
        <f>BDS("540513Q US Equity","SUPPLY_CHAIN_SUPPLIERS_FULL_DATA")</f>
        <v/>
      </c>
      <c r="TE5">
        <f>BDS("540513Q US Equity","SUPPLY_CHAIN_CUSTOMERS_FULL_DATA")</f>
        <v/>
      </c>
      <c r="TU5">
        <f>BDS("SONE US Equity","SUPPLY_CHAIN_SUPPLIERS_FULL_DATA")</f>
        <v/>
      </c>
      <c r="UI5">
        <f>BDS("SONE US Equity","SUPPLY_CHAIN_CUSTOMERS_FULL_DATA")</f>
        <v/>
      </c>
      <c r="UY5">
        <f>BDS("CBCGQ US Equity","SUPPLY_CHAIN_SUPPLIERS_FULL_DATA")</f>
        <v/>
      </c>
      <c r="VM5">
        <f>BDS("CBCGQ US Equity","SUPPLY_CHAIN_CUSTOMERS_FULL_DATA")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2281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2282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2283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2284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2285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2286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2287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2288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2289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2290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2291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2292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2293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2294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2295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2296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2297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2298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2299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2300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DHR US Equity</t>
        </is>
      </c>
      <c r="AE2" s="3" t="inlineStr">
        <is>
          <t>AA US Equity</t>
        </is>
      </c>
      <c r="BI2" s="3" t="inlineStr">
        <is>
          <t>BCIC US Equity</t>
        </is>
      </c>
      <c r="CM2" s="3" t="inlineStr">
        <is>
          <t>ENRNQ US Equity</t>
        </is>
      </c>
      <c r="DQ2" s="3" t="inlineStr">
        <is>
          <t>PFE US Equity</t>
        </is>
      </c>
      <c r="EU2" s="3" t="inlineStr">
        <is>
          <t>CNX US Equity</t>
        </is>
      </c>
      <c r="FY2" s="3" t="inlineStr">
        <is>
          <t>9876567D US Equity</t>
        </is>
      </c>
      <c r="HC2" s="3" t="inlineStr">
        <is>
          <t>DCO US Equity</t>
        </is>
      </c>
      <c r="IG2" s="3" t="inlineStr">
        <is>
          <t>PBI US Equity</t>
        </is>
      </c>
      <c r="JK2" s="3" t="inlineStr">
        <is>
          <t>ABT US Equity</t>
        </is>
      </c>
      <c r="KO2" s="3" t="inlineStr">
        <is>
          <t>PLRE US Equity</t>
        </is>
      </c>
      <c r="LS2" s="3" t="inlineStr">
        <is>
          <t>FNVG US Equity</t>
        </is>
      </c>
      <c r="MW2" s="3" t="inlineStr">
        <is>
          <t>OAK US Equity</t>
        </is>
      </c>
      <c r="OA2" s="3" t="inlineStr">
        <is>
          <t>AGN US Equity</t>
        </is>
      </c>
      <c r="PE2" s="3" t="inlineStr">
        <is>
          <t>LII US Equity</t>
        </is>
      </c>
      <c r="QI2" s="3" t="inlineStr">
        <is>
          <t>TSFG US Equity</t>
        </is>
      </c>
      <c r="RM2" s="3" t="inlineStr">
        <is>
          <t>TPP US Equity</t>
        </is>
      </c>
      <c r="SQ2" s="3" t="inlineStr">
        <is>
          <t>SOGCQ US Equity</t>
        </is>
      </c>
      <c r="TU2" s="3" t="inlineStr">
        <is>
          <t>NVEE US Equity</t>
        </is>
      </c>
      <c r="UY2" s="3" t="inlineStr">
        <is>
          <t>MDT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BDS("DHR US Equity","SUPPLY_CHAIN_SUPPLIERS_FULL_DATA")</f>
        <v/>
      </c>
      <c r="O5">
        <f>BDS("DHR US Equity","SUPPLY_CHAIN_CUSTOMERS_FULL_DATA")</f>
        <v/>
      </c>
      <c r="AE5">
        <f>BDS("AA US Equity","SUPPLY_CHAIN_SUPPLIERS_FULL_DATA")</f>
        <v/>
      </c>
      <c r="AS5">
        <f>BDS("AA US Equity","SUPPLY_CHAIN_CUSTOMERS_FULL_DATA")</f>
        <v/>
      </c>
      <c r="BI5">
        <f>BDS("BCIC US Equity","SUPPLY_CHAIN_SUPPLIERS_FULL_DATA")</f>
        <v/>
      </c>
      <c r="BW5">
        <f>BDS("BCIC US Equity","SUPPLY_CHAIN_CUSTOMERS_FULL_DATA")</f>
        <v/>
      </c>
      <c r="CM5">
        <f>BDS("ENRNQ US Equity","SUPPLY_CHAIN_SUPPLIERS_FULL_DATA")</f>
        <v/>
      </c>
      <c r="DA5">
        <f>BDS("ENRNQ US Equity","SUPPLY_CHAIN_CUSTOMERS_FULL_DATA")</f>
        <v/>
      </c>
      <c r="DQ5">
        <f>BDS("PFE US Equity","SUPPLY_CHAIN_SUPPLIERS_FULL_DATA")</f>
        <v/>
      </c>
      <c r="EE5">
        <f>BDS("PFE US Equity","SUPPLY_CHAIN_CUSTOMERS_FULL_DATA")</f>
        <v/>
      </c>
      <c r="EU5">
        <f>BDS("CNX US Equity","SUPPLY_CHAIN_SUPPLIERS_FULL_DATA")</f>
        <v/>
      </c>
      <c r="FI5">
        <f>BDS("CNX US Equity","SUPPLY_CHAIN_CUSTOMERS_FULL_DATA")</f>
        <v/>
      </c>
      <c r="FY5">
        <f>BDS("9876567D US Equity","SUPPLY_CHAIN_SUPPLIERS_FULL_DATA")</f>
        <v/>
      </c>
      <c r="GM5">
        <f>BDS("9876567D US Equity","SUPPLY_CHAIN_CUSTOMERS_FULL_DATA")</f>
        <v/>
      </c>
      <c r="HC5">
        <f>BDS("DCO US Equity","SUPPLY_CHAIN_SUPPLIERS_FULL_DATA")</f>
        <v/>
      </c>
      <c r="HQ5">
        <f>BDS("DCO US Equity","SUPPLY_CHAIN_CUSTOMERS_FULL_DATA")</f>
        <v/>
      </c>
      <c r="IG5">
        <f>BDS("PBI US Equity","SUPPLY_CHAIN_SUPPLIERS_FULL_DATA")</f>
        <v/>
      </c>
      <c r="IU5">
        <f>BDS("PBI US Equity","SUPPLY_CHAIN_CUSTOMERS_FULL_DATA")</f>
        <v/>
      </c>
      <c r="JK5">
        <f>BDS("ABT US Equity","SUPPLY_CHAIN_SUPPLIERS_FULL_DATA")</f>
        <v/>
      </c>
      <c r="JY5">
        <f>BDS("ABT US Equity","SUPPLY_CHAIN_CUSTOMERS_FULL_DATA")</f>
        <v/>
      </c>
      <c r="KO5">
        <f>BDS("PLRE US Equity","SUPPLY_CHAIN_SUPPLIERS_FULL_DATA")</f>
        <v/>
      </c>
      <c r="LC5">
        <f>BDS("PLRE US Equity","SUPPLY_CHAIN_CUSTOMERS_FULL_DATA")</f>
        <v/>
      </c>
      <c r="LS5">
        <f>BDS("FNVG US Equity","SUPPLY_CHAIN_SUPPLIERS_FULL_DATA")</f>
        <v/>
      </c>
      <c r="MG5">
        <f>BDS("FNVG US Equity","SUPPLY_CHAIN_CUSTOMERS_FULL_DATA")</f>
        <v/>
      </c>
      <c r="MW5">
        <f>BDS("OAK US Equity","SUPPLY_CHAIN_SUPPLIERS_FULL_DATA")</f>
        <v/>
      </c>
      <c r="NK5">
        <f>BDS("OAK US Equity","SUPPLY_CHAIN_CUSTOMERS_FULL_DATA")</f>
        <v/>
      </c>
      <c r="OA5">
        <f>BDS("AGN US Equity","SUPPLY_CHAIN_SUPPLIERS_FULL_DATA")</f>
        <v/>
      </c>
      <c r="OO5">
        <f>BDS("AGN US Equity","SUPPLY_CHAIN_CUSTOMERS_FULL_DATA")</f>
        <v/>
      </c>
      <c r="PE5">
        <f>BDS("LII US Equity","SUPPLY_CHAIN_SUPPLIERS_FULL_DATA")</f>
        <v/>
      </c>
      <c r="PS5">
        <f>BDS("LII US Equity","SUPPLY_CHAIN_CUSTOMERS_FULL_DATA")</f>
        <v/>
      </c>
      <c r="QI5">
        <f>BDS("TSFG US Equity","SUPPLY_CHAIN_SUPPLIERS_FULL_DATA")</f>
        <v/>
      </c>
      <c r="QW5">
        <f>BDS("TSFG US Equity","SUPPLY_CHAIN_CUSTOMERS_FULL_DATA")</f>
        <v/>
      </c>
      <c r="RM5">
        <f>BDS("TPP US Equity","SUPPLY_CHAIN_SUPPLIERS_FULL_DATA")</f>
        <v/>
      </c>
      <c r="SA5">
        <f>BDS("TPP US Equity","SUPPLY_CHAIN_CUSTOMERS_FULL_DATA")</f>
        <v/>
      </c>
      <c r="SQ5">
        <f>BDS("SOGCQ US Equity","SUPPLY_CHAIN_SUPPLIERS_FULL_DATA")</f>
        <v/>
      </c>
      <c r="TE5">
        <f>BDS("SOGCQ US Equity","SUPPLY_CHAIN_CUSTOMERS_FULL_DATA")</f>
        <v/>
      </c>
      <c r="TU5">
        <f>BDS("NVEE US Equity","SUPPLY_CHAIN_SUPPLIERS_FULL_DATA")</f>
        <v/>
      </c>
      <c r="UI5">
        <f>BDS("NVEE US Equity","SUPPLY_CHAIN_CUSTOMERS_FULL_DATA")</f>
        <v/>
      </c>
      <c r="UY5">
        <f>BDS("MDT US Equity","SUPPLY_CHAIN_SUPPLIERS_FULL_DATA")</f>
        <v/>
      </c>
      <c r="VM5">
        <f>BDS("MDT US Equity","SUPPLY_CHAIN_CUSTOMERS_FULL_DATA")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2301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2302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2303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2304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2305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2306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2307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2308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2309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2310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2311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2312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2313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2314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2315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2316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2317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2318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2319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2320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CMTY US Equity</t>
        </is>
      </c>
      <c r="AE2" s="3" t="inlineStr">
        <is>
          <t>RRC US Equity</t>
        </is>
      </c>
      <c r="BI2" s="3" t="inlineStr">
        <is>
          <t>VLY US Equity</t>
        </is>
      </c>
      <c r="CM2" s="3" t="inlineStr">
        <is>
          <t>ABT US Equity</t>
        </is>
      </c>
      <c r="DQ2" s="3" t="inlineStr">
        <is>
          <t>NUAN US Equity</t>
        </is>
      </c>
      <c r="EU2" s="3" t="inlineStr">
        <is>
          <t>VFC US Equity</t>
        </is>
      </c>
      <c r="FY2" s="3" t="inlineStr">
        <is>
          <t>SITEQ US Equity</t>
        </is>
      </c>
      <c r="HC2" s="3" t="inlineStr">
        <is>
          <t>MCHP US Equity</t>
        </is>
      </c>
      <c r="IG2" s="3" t="inlineStr">
        <is>
          <t>WSBC US Equity</t>
        </is>
      </c>
      <c r="JK2" s="3" t="inlineStr">
        <is>
          <t>2502261D US Equity</t>
        </is>
      </c>
      <c r="KO2" s="3" t="inlineStr">
        <is>
          <t>AFG US Equity</t>
        </is>
      </c>
      <c r="LS2" s="3" t="inlineStr">
        <is>
          <t>DFODQ US Equity</t>
        </is>
      </c>
      <c r="MW2" s="3" t="inlineStr">
        <is>
          <t>CBU US Equity</t>
        </is>
      </c>
      <c r="OA2" s="3" t="inlineStr">
        <is>
          <t>1849855D US Equity</t>
        </is>
      </c>
      <c r="PE2" s="3" t="inlineStr">
        <is>
          <t>EXE US Equity</t>
        </is>
      </c>
      <c r="QI2" s="3" t="inlineStr">
        <is>
          <t>2674129Q US Equity</t>
        </is>
      </c>
      <c r="RM2" s="3" t="inlineStr">
        <is>
          <t>540513Q US Equity</t>
        </is>
      </c>
      <c r="SQ2" s="3" t="inlineStr">
        <is>
          <t>FBNC US Equity</t>
        </is>
      </c>
      <c r="TU2" s="3" t="inlineStr">
        <is>
          <t>3122066Q US Equity</t>
        </is>
      </c>
      <c r="UY2" s="3" t="inlineStr">
        <is>
          <t>ORCL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BDS("CMTY US Equity","SUPPLY_CHAIN_SUPPLIERS_FULL_DATA")</f>
        <v/>
      </c>
      <c r="O5">
        <f>BDS("CMTY US Equity","SUPPLY_CHAIN_CUSTOMERS_FULL_DATA")</f>
        <v/>
      </c>
      <c r="AE5">
        <f>BDS("RRC US Equity","SUPPLY_CHAIN_SUPPLIERS_FULL_DATA")</f>
        <v/>
      </c>
      <c r="AS5">
        <f>BDS("RRC US Equity","SUPPLY_CHAIN_CUSTOMERS_FULL_DATA")</f>
        <v/>
      </c>
      <c r="BI5">
        <f>BDS("VLY US Equity","SUPPLY_CHAIN_SUPPLIERS_FULL_DATA")</f>
        <v/>
      </c>
      <c r="BW5">
        <f>BDS("VLY US Equity","SUPPLY_CHAIN_CUSTOMERS_FULL_DATA")</f>
        <v/>
      </c>
      <c r="CM5">
        <f>BDS("ABT US Equity","SUPPLY_CHAIN_SUPPLIERS_FULL_DATA")</f>
        <v/>
      </c>
      <c r="DA5">
        <f>BDS("ABT US Equity","SUPPLY_CHAIN_CUSTOMERS_FULL_DATA")</f>
        <v/>
      </c>
      <c r="DQ5">
        <f>BDS("NUAN US Equity","SUPPLY_CHAIN_SUPPLIERS_FULL_DATA")</f>
        <v/>
      </c>
      <c r="EE5">
        <f>BDS("NUAN US Equity","SUPPLY_CHAIN_CUSTOMERS_FULL_DATA")</f>
        <v/>
      </c>
      <c r="EU5">
        <f>BDS("VFC US Equity","SUPPLY_CHAIN_SUPPLIERS_FULL_DATA")</f>
        <v/>
      </c>
      <c r="FI5">
        <f>BDS("VFC US Equity","SUPPLY_CHAIN_CUSTOMERS_FULL_DATA")</f>
        <v/>
      </c>
      <c r="FY5">
        <f>BDS("SITEQ US Equity","SUPPLY_CHAIN_SUPPLIERS_FULL_DATA")</f>
        <v/>
      </c>
      <c r="GM5">
        <f>BDS("SITEQ US Equity","SUPPLY_CHAIN_CUSTOMERS_FULL_DATA")</f>
        <v/>
      </c>
      <c r="HC5">
        <f>BDS("MCHP US Equity","SUPPLY_CHAIN_SUPPLIERS_FULL_DATA")</f>
        <v/>
      </c>
      <c r="HQ5">
        <f>BDS("MCHP US Equity","SUPPLY_CHAIN_CUSTOMERS_FULL_DATA")</f>
        <v/>
      </c>
      <c r="IG5">
        <f>BDS("WSBC US Equity","SUPPLY_CHAIN_SUPPLIERS_FULL_DATA")</f>
        <v/>
      </c>
      <c r="IU5">
        <f>BDS("WSBC US Equity","SUPPLY_CHAIN_CUSTOMERS_FULL_DATA")</f>
        <v/>
      </c>
      <c r="JK5">
        <f>BDS("2502261D US Equity","SUPPLY_CHAIN_SUPPLIERS_FULL_DATA")</f>
        <v/>
      </c>
      <c r="JY5">
        <f>BDS("2502261D US Equity","SUPPLY_CHAIN_CUSTOMERS_FULL_DATA")</f>
        <v/>
      </c>
      <c r="KO5">
        <f>BDS("AFG US Equity","SUPPLY_CHAIN_SUPPLIERS_FULL_DATA")</f>
        <v/>
      </c>
      <c r="LC5">
        <f>BDS("AFG US Equity","SUPPLY_CHAIN_CUSTOMERS_FULL_DATA")</f>
        <v/>
      </c>
      <c r="LS5">
        <f>BDS("DFODQ US Equity","SUPPLY_CHAIN_SUPPLIERS_FULL_DATA")</f>
        <v/>
      </c>
      <c r="MG5">
        <f>BDS("DFODQ US Equity","SUPPLY_CHAIN_CUSTOMERS_FULL_DATA")</f>
        <v/>
      </c>
      <c r="MW5">
        <f>BDS("CBU US Equity","SUPPLY_CHAIN_SUPPLIERS_FULL_DATA")</f>
        <v/>
      </c>
      <c r="NK5">
        <f>BDS("CBU US Equity","SUPPLY_CHAIN_CUSTOMERS_FULL_DATA")</f>
        <v/>
      </c>
      <c r="OA5">
        <f>BDS("1849855D US Equity","SUPPLY_CHAIN_SUPPLIERS_FULL_DATA")</f>
        <v/>
      </c>
      <c r="OO5">
        <f>BDS("1849855D US Equity","SUPPLY_CHAIN_CUSTOMERS_FULL_DATA")</f>
        <v/>
      </c>
      <c r="PE5">
        <f>BDS("EXE US Equity","SUPPLY_CHAIN_SUPPLIERS_FULL_DATA")</f>
        <v/>
      </c>
      <c r="PS5">
        <f>BDS("EXE US Equity","SUPPLY_CHAIN_CUSTOMERS_FULL_DATA")</f>
        <v/>
      </c>
      <c r="QI5">
        <f>BDS("2674129Q US Equity","SUPPLY_CHAIN_SUPPLIERS_FULL_DATA")</f>
        <v/>
      </c>
      <c r="QW5">
        <f>BDS("2674129Q US Equity","SUPPLY_CHAIN_CUSTOMERS_FULL_DATA")</f>
        <v/>
      </c>
      <c r="RM5">
        <f>BDS("540513Q US Equity","SUPPLY_CHAIN_SUPPLIERS_FULL_DATA")</f>
        <v/>
      </c>
      <c r="SA5">
        <f>BDS("540513Q US Equity","SUPPLY_CHAIN_CUSTOMERS_FULL_DATA")</f>
        <v/>
      </c>
      <c r="SQ5">
        <f>BDS("FBNC US Equity","SUPPLY_CHAIN_SUPPLIERS_FULL_DATA")</f>
        <v/>
      </c>
      <c r="TE5">
        <f>BDS("FBNC US Equity","SUPPLY_CHAIN_CUSTOMERS_FULL_DATA")</f>
        <v/>
      </c>
      <c r="TU5">
        <f>BDS("3122066Q US Equity","SUPPLY_CHAIN_SUPPLIERS_FULL_DATA")</f>
        <v/>
      </c>
      <c r="UI5">
        <f>BDS("3122066Q US Equity","SUPPLY_CHAIN_CUSTOMERS_FULL_DATA")</f>
        <v/>
      </c>
      <c r="UY5">
        <f>BDS("ORCL US Equity","SUPPLY_CHAIN_SUPPLIERS_FULL_DATA")</f>
        <v/>
      </c>
      <c r="VM5">
        <f>BDS("ORCL US Equity","SUPPLY_CHAIN_CUSTOMERS_FULL_DATA")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2321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2322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2323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2324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2325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2326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2327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2328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2329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2330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2331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2332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2333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2334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2335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2336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2337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2338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2339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2340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SWK US Equity</t>
        </is>
      </c>
      <c r="AE2" s="3" t="inlineStr">
        <is>
          <t>LZB US Equity</t>
        </is>
      </c>
      <c r="BI2" s="3" t="inlineStr">
        <is>
          <t>SBSI US Equity</t>
        </is>
      </c>
      <c r="CM2" s="3" t="inlineStr">
        <is>
          <t>EXTR US Equity</t>
        </is>
      </c>
      <c r="DQ2" s="3" t="inlineStr">
        <is>
          <t>SYK US Equity</t>
        </is>
      </c>
      <c r="EU2" s="3" t="inlineStr">
        <is>
          <t>CPPRQ US Equity</t>
        </is>
      </c>
      <c r="FY2" s="3" t="inlineStr">
        <is>
          <t>TXT US Equity</t>
        </is>
      </c>
      <c r="HC2" s="3" t="inlineStr">
        <is>
          <t>MYPT US Equity</t>
        </is>
      </c>
      <c r="IG2" s="3" t="inlineStr">
        <is>
          <t>FULT US Equity</t>
        </is>
      </c>
      <c r="JK2" s="3" t="inlineStr">
        <is>
          <t>RRA US Equity</t>
        </is>
      </c>
      <c r="KO2" s="3" t="inlineStr">
        <is>
          <t>K US Equity</t>
        </is>
      </c>
      <c r="LS2" s="3" t="inlineStr">
        <is>
          <t>IEP US Equity</t>
        </is>
      </c>
      <c r="MW2" s="3" t="inlineStr">
        <is>
          <t>2072499D US Equity</t>
        </is>
      </c>
      <c r="OA2" s="3" t="inlineStr">
        <is>
          <t>2674129Q US Equity</t>
        </is>
      </c>
      <c r="PE2" s="3" t="inlineStr">
        <is>
          <t>1288652D US Equity</t>
        </is>
      </c>
      <c r="QI2" s="3" t="inlineStr">
        <is>
          <t>LNWO US Equity</t>
        </is>
      </c>
      <c r="RM2" s="3" t="inlineStr">
        <is>
          <t>KEGX US Equity</t>
        </is>
      </c>
      <c r="SQ2" s="3" t="inlineStr">
        <is>
          <t>AOS US Equity</t>
        </is>
      </c>
      <c r="TU2" s="3" t="inlineStr">
        <is>
          <t>LLY US Equity</t>
        </is>
      </c>
      <c r="UY2" s="3" t="inlineStr">
        <is>
          <t>CVI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BDS("SWK US Equity","SUPPLY_CHAIN_SUPPLIERS_FULL_DATA")</f>
        <v/>
      </c>
      <c r="O5">
        <f>BDS("SWK US Equity","SUPPLY_CHAIN_CUSTOMERS_FULL_DATA")</f>
        <v/>
      </c>
      <c r="AE5">
        <f>BDS("LZB US Equity","SUPPLY_CHAIN_SUPPLIERS_FULL_DATA")</f>
        <v/>
      </c>
      <c r="AS5">
        <f>BDS("LZB US Equity","SUPPLY_CHAIN_CUSTOMERS_FULL_DATA")</f>
        <v/>
      </c>
      <c r="BI5">
        <f>BDS("SBSI US Equity","SUPPLY_CHAIN_SUPPLIERS_FULL_DATA")</f>
        <v/>
      </c>
      <c r="BW5">
        <f>BDS("SBSI US Equity","SUPPLY_CHAIN_CUSTOMERS_FULL_DATA")</f>
        <v/>
      </c>
      <c r="CM5">
        <f>BDS("EXTR US Equity","SUPPLY_CHAIN_SUPPLIERS_FULL_DATA")</f>
        <v/>
      </c>
      <c r="DA5">
        <f>BDS("EXTR US Equity","SUPPLY_CHAIN_CUSTOMERS_FULL_DATA")</f>
        <v/>
      </c>
      <c r="DQ5">
        <f>BDS("SYK US Equity","SUPPLY_CHAIN_SUPPLIERS_FULL_DATA")</f>
        <v/>
      </c>
      <c r="EE5">
        <f>BDS("SYK US Equity","SUPPLY_CHAIN_CUSTOMERS_FULL_DATA")</f>
        <v/>
      </c>
      <c r="EU5">
        <f>BDS("CPPRQ US Equity","SUPPLY_CHAIN_SUPPLIERS_FULL_DATA")</f>
        <v/>
      </c>
      <c r="FI5">
        <f>BDS("CPPRQ US Equity","SUPPLY_CHAIN_CUSTOMERS_FULL_DATA")</f>
        <v/>
      </c>
      <c r="FY5">
        <f>BDS("TXT US Equity","SUPPLY_CHAIN_SUPPLIERS_FULL_DATA")</f>
        <v/>
      </c>
      <c r="GM5">
        <f>BDS("TXT US Equity","SUPPLY_CHAIN_CUSTOMERS_FULL_DATA")</f>
        <v/>
      </c>
      <c r="HC5">
        <f>BDS("MYPT US Equity","SUPPLY_CHAIN_SUPPLIERS_FULL_DATA")</f>
        <v/>
      </c>
      <c r="HQ5">
        <f>BDS("MYPT US Equity","SUPPLY_CHAIN_CUSTOMERS_FULL_DATA")</f>
        <v/>
      </c>
      <c r="IG5">
        <f>BDS("FULT US Equity","SUPPLY_CHAIN_SUPPLIERS_FULL_DATA")</f>
        <v/>
      </c>
      <c r="IU5">
        <f>BDS("FULT US Equity","SUPPLY_CHAIN_CUSTOMERS_FULL_DATA")</f>
        <v/>
      </c>
      <c r="JK5">
        <f>BDS("RRA US Equity","SUPPLY_CHAIN_SUPPLIERS_FULL_DATA")</f>
        <v/>
      </c>
      <c r="JY5">
        <f>BDS("RRA US Equity","SUPPLY_CHAIN_CUSTOMERS_FULL_DATA")</f>
        <v/>
      </c>
      <c r="KO5">
        <f>BDS("K US Equity","SUPPLY_CHAIN_SUPPLIERS_FULL_DATA")</f>
        <v/>
      </c>
      <c r="LC5">
        <f>BDS("K US Equity","SUPPLY_CHAIN_CUSTOMERS_FULL_DATA")</f>
        <v/>
      </c>
      <c r="LS5">
        <f>BDS("IEP US Equity","SUPPLY_CHAIN_SUPPLIERS_FULL_DATA")</f>
        <v/>
      </c>
      <c r="MG5">
        <f>BDS("IEP US Equity","SUPPLY_CHAIN_CUSTOMERS_FULL_DATA")</f>
        <v/>
      </c>
      <c r="MW5">
        <f>BDS("2072499D US Equity","SUPPLY_CHAIN_SUPPLIERS_FULL_DATA")</f>
        <v/>
      </c>
      <c r="NK5">
        <f>BDS("2072499D US Equity","SUPPLY_CHAIN_CUSTOMERS_FULL_DATA")</f>
        <v/>
      </c>
      <c r="OA5">
        <f>BDS("2674129Q US Equity","SUPPLY_CHAIN_SUPPLIERS_FULL_DATA")</f>
        <v/>
      </c>
      <c r="OO5">
        <f>BDS("2674129Q US Equity","SUPPLY_CHAIN_CUSTOMERS_FULL_DATA")</f>
        <v/>
      </c>
      <c r="PE5">
        <f>BDS("1288652D US Equity","SUPPLY_CHAIN_SUPPLIERS_FULL_DATA")</f>
        <v/>
      </c>
      <c r="PS5">
        <f>BDS("1288652D US Equity","SUPPLY_CHAIN_CUSTOMERS_FULL_DATA")</f>
        <v/>
      </c>
      <c r="QI5">
        <f>BDS("LNWO US Equity","SUPPLY_CHAIN_SUPPLIERS_FULL_DATA")</f>
        <v/>
      </c>
      <c r="QW5">
        <f>BDS("LNWO US Equity","SUPPLY_CHAIN_CUSTOMERS_FULL_DATA")</f>
        <v/>
      </c>
      <c r="RM5">
        <f>BDS("KEGX US Equity","SUPPLY_CHAIN_SUPPLIERS_FULL_DATA")</f>
        <v/>
      </c>
      <c r="SA5">
        <f>BDS("KEGX US Equity","SUPPLY_CHAIN_CUSTOMERS_FULL_DATA")</f>
        <v/>
      </c>
      <c r="SQ5">
        <f>BDS("AOS US Equity","SUPPLY_CHAIN_SUPPLIERS_FULL_DATA")</f>
        <v/>
      </c>
      <c r="TE5">
        <f>BDS("AOS US Equity","SUPPLY_CHAIN_CUSTOMERS_FULL_DATA")</f>
        <v/>
      </c>
      <c r="TU5">
        <f>BDS("LLY US Equity","SUPPLY_CHAIN_SUPPLIERS_FULL_DATA")</f>
        <v/>
      </c>
      <c r="UI5">
        <f>BDS("LLY US Equity","SUPPLY_CHAIN_CUSTOMERS_FULL_DATA")</f>
        <v/>
      </c>
      <c r="UY5">
        <f>BDS("CVI US Equity","SUPPLY_CHAIN_SUPPLIERS_FULL_DATA")</f>
        <v/>
      </c>
      <c r="VM5">
        <f>BDS("CVI US Equity","SUPPLY_CHAIN_CUSTOMERS_FULL_DATA")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2341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2342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2343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2344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2345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2346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2347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2348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2349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2350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2351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2352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2353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2354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2355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2356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2357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2358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2359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2360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TCBK US Equity</t>
        </is>
      </c>
      <c r="AE2" s="3" t="inlineStr">
        <is>
          <t>DHR US Equity</t>
        </is>
      </c>
      <c r="BI2" s="3" t="inlineStr">
        <is>
          <t>T US Equity</t>
        </is>
      </c>
      <c r="CM2" s="3" t="inlineStr">
        <is>
          <t>PMCS US Equity</t>
        </is>
      </c>
      <c r="DQ2" s="3" t="inlineStr">
        <is>
          <t>ET US Equity</t>
        </is>
      </c>
      <c r="EU2" s="3" t="inlineStr">
        <is>
          <t>ADP US Equity</t>
        </is>
      </c>
      <c r="FY2" s="3" t="inlineStr">
        <is>
          <t>TER US Equity</t>
        </is>
      </c>
      <c r="HC2" s="3" t="inlineStr">
        <is>
          <t>TOWN US Equity</t>
        </is>
      </c>
      <c r="IG2" s="3" t="inlineStr">
        <is>
          <t>AGCO US Equity</t>
        </is>
      </c>
      <c r="JK2" s="3" t="inlineStr">
        <is>
          <t>540513Q US Equity</t>
        </is>
      </c>
      <c r="KO2" s="3" t="inlineStr">
        <is>
          <t>SSB US Equity</t>
        </is>
      </c>
      <c r="LS2" s="3" t="inlineStr">
        <is>
          <t>nan Equity</t>
        </is>
      </c>
      <c r="MW2" s="3" t="inlineStr">
        <is>
          <t>FORM US Equity</t>
        </is>
      </c>
      <c r="OA2" s="3" t="inlineStr">
        <is>
          <t>CVOVQ US Equity</t>
        </is>
      </c>
      <c r="PE2" s="3" t="inlineStr">
        <is>
          <t>GENZ US Equity</t>
        </is>
      </c>
      <c r="QI2" s="3" t="inlineStr">
        <is>
          <t>VTR US Equity</t>
        </is>
      </c>
      <c r="RM2" s="3" t="inlineStr">
        <is>
          <t>FNIS US Equity</t>
        </is>
      </c>
      <c r="SQ2" s="3" t="inlineStr">
        <is>
          <t>8258290Q US Equity</t>
        </is>
      </c>
      <c r="TU2" s="3" t="inlineStr">
        <is>
          <t>2258717D US Equity</t>
        </is>
      </c>
      <c r="UY2" s="3" t="inlineStr">
        <is>
          <t>RRD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BDS("TCBK US Equity","SUPPLY_CHAIN_SUPPLIERS_FULL_DATA")</f>
        <v/>
      </c>
      <c r="O5">
        <f>BDS("TCBK US Equity","SUPPLY_CHAIN_CUSTOMERS_FULL_DATA")</f>
        <v/>
      </c>
      <c r="AE5">
        <f>BDS("DHR US Equity","SUPPLY_CHAIN_SUPPLIERS_FULL_DATA")</f>
        <v/>
      </c>
      <c r="AS5">
        <f>BDS("DHR US Equity","SUPPLY_CHAIN_CUSTOMERS_FULL_DATA")</f>
        <v/>
      </c>
      <c r="BI5">
        <f>BDS("T US Equity","SUPPLY_CHAIN_SUPPLIERS_FULL_DATA")</f>
        <v/>
      </c>
      <c r="BW5">
        <f>BDS("T US Equity","SUPPLY_CHAIN_CUSTOMERS_FULL_DATA")</f>
        <v/>
      </c>
      <c r="CM5">
        <f>BDS("PMCS US Equity","SUPPLY_CHAIN_SUPPLIERS_FULL_DATA")</f>
        <v/>
      </c>
      <c r="DA5">
        <f>BDS("PMCS US Equity","SUPPLY_CHAIN_CUSTOMERS_FULL_DATA")</f>
        <v/>
      </c>
      <c r="DQ5">
        <f>BDS("ET US Equity","SUPPLY_CHAIN_SUPPLIERS_FULL_DATA")</f>
        <v/>
      </c>
      <c r="EE5">
        <f>BDS("ET US Equity","SUPPLY_CHAIN_CUSTOMERS_FULL_DATA")</f>
        <v/>
      </c>
      <c r="EU5">
        <f>BDS("ADP US Equity","SUPPLY_CHAIN_SUPPLIERS_FULL_DATA")</f>
        <v/>
      </c>
      <c r="FI5">
        <f>BDS("ADP US Equity","SUPPLY_CHAIN_CUSTOMERS_FULL_DATA")</f>
        <v/>
      </c>
      <c r="FY5">
        <f>BDS("TER US Equity","SUPPLY_CHAIN_SUPPLIERS_FULL_DATA")</f>
        <v/>
      </c>
      <c r="GM5">
        <f>BDS("TER US Equity","SUPPLY_CHAIN_CUSTOMERS_FULL_DATA")</f>
        <v/>
      </c>
      <c r="HC5">
        <f>BDS("TOWN US Equity","SUPPLY_CHAIN_SUPPLIERS_FULL_DATA")</f>
        <v/>
      </c>
      <c r="HQ5">
        <f>BDS("TOWN US Equity","SUPPLY_CHAIN_CUSTOMERS_FULL_DATA")</f>
        <v/>
      </c>
      <c r="IG5">
        <f>BDS("AGCO US Equity","SUPPLY_CHAIN_SUPPLIERS_FULL_DATA")</f>
        <v/>
      </c>
      <c r="IU5">
        <f>BDS("AGCO US Equity","SUPPLY_CHAIN_CUSTOMERS_FULL_DATA")</f>
        <v/>
      </c>
      <c r="JK5">
        <f>BDS("540513Q US Equity","SUPPLY_CHAIN_SUPPLIERS_FULL_DATA")</f>
        <v/>
      </c>
      <c r="JY5">
        <f>BDS("540513Q US Equity","SUPPLY_CHAIN_CUSTOMERS_FULL_DATA")</f>
        <v/>
      </c>
      <c r="KO5">
        <f>BDS("SSB US Equity","SUPPLY_CHAIN_SUPPLIERS_FULL_DATA")</f>
        <v/>
      </c>
      <c r="LC5">
        <f>BDS("SSB US Equity","SUPPLY_CHAIN_CUSTOMERS_FULL_DATA")</f>
        <v/>
      </c>
      <c r="LS5">
        <f>BDS("nan Equity","SUPPLY_CHAIN_SUPPLIERS_FULL_DATA")</f>
        <v/>
      </c>
      <c r="MG5">
        <f>BDS("nan Equity","SUPPLY_CHAIN_CUSTOMERS_FULL_DATA")</f>
        <v/>
      </c>
      <c r="MW5">
        <f>BDS("FORM US Equity","SUPPLY_CHAIN_SUPPLIERS_FULL_DATA")</f>
        <v/>
      </c>
      <c r="NK5">
        <f>BDS("FORM US Equity","SUPPLY_CHAIN_CUSTOMERS_FULL_DATA")</f>
        <v/>
      </c>
      <c r="OA5">
        <f>BDS("CVOVQ US Equity","SUPPLY_CHAIN_SUPPLIERS_FULL_DATA")</f>
        <v/>
      </c>
      <c r="OO5">
        <f>BDS("CVOVQ US Equity","SUPPLY_CHAIN_CUSTOMERS_FULL_DATA")</f>
        <v/>
      </c>
      <c r="PE5">
        <f>BDS("GENZ US Equity","SUPPLY_CHAIN_SUPPLIERS_FULL_DATA")</f>
        <v/>
      </c>
      <c r="PS5">
        <f>BDS("GENZ US Equity","SUPPLY_CHAIN_CUSTOMERS_FULL_DATA")</f>
        <v/>
      </c>
      <c r="QI5">
        <f>BDS("VTR US Equity","SUPPLY_CHAIN_SUPPLIERS_FULL_DATA")</f>
        <v/>
      </c>
      <c r="QW5">
        <f>BDS("VTR US Equity","SUPPLY_CHAIN_CUSTOMERS_FULL_DATA")</f>
        <v/>
      </c>
      <c r="RM5">
        <f>BDS("FNIS US Equity","SUPPLY_CHAIN_SUPPLIERS_FULL_DATA")</f>
        <v/>
      </c>
      <c r="SA5">
        <f>BDS("FNIS US Equity","SUPPLY_CHAIN_CUSTOMERS_FULL_DATA")</f>
        <v/>
      </c>
      <c r="SQ5">
        <f>BDS("8258290Q US Equity","SUPPLY_CHAIN_SUPPLIERS_FULL_DATA")</f>
        <v/>
      </c>
      <c r="TE5">
        <f>BDS("8258290Q US Equity","SUPPLY_CHAIN_CUSTOMERS_FULL_DATA")</f>
        <v/>
      </c>
      <c r="TU5">
        <f>BDS("2258717D US Equity","SUPPLY_CHAIN_SUPPLIERS_FULL_DATA")</f>
        <v/>
      </c>
      <c r="UI5">
        <f>BDS("2258717D US Equity","SUPPLY_CHAIN_CUSTOMERS_FULL_DATA")</f>
        <v/>
      </c>
      <c r="UY5">
        <f>BDS("RRD US Equity","SUPPLY_CHAIN_SUPPLIERS_FULL_DATA")</f>
        <v/>
      </c>
      <c r="VM5">
        <f>BDS("RRD US Equity","SUPPLY_CHAIN_CUSTOMERS_FULL_DATA")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2361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2362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2363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2364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2365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2366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2367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2368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2369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2370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2371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2372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2373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2374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2375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2376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2377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2378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2379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2380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ICII US Equity</t>
        </is>
      </c>
      <c r="AE2" s="3" t="inlineStr">
        <is>
          <t>GDT US Equity</t>
        </is>
      </c>
      <c r="BI2" s="3" t="inlineStr">
        <is>
          <t>SNPS US Equity</t>
        </is>
      </c>
      <c r="CM2" s="3" t="inlineStr">
        <is>
          <t>STLD US Equity</t>
        </is>
      </c>
      <c r="DQ2" s="3" t="inlineStr">
        <is>
          <t>1996074D US Equity</t>
        </is>
      </c>
      <c r="EU2" s="3" t="inlineStr">
        <is>
          <t>COV US Equity</t>
        </is>
      </c>
      <c r="FY2" s="3" t="inlineStr">
        <is>
          <t>3075558Q US Equity</t>
        </is>
      </c>
      <c r="HC2" s="3" t="inlineStr">
        <is>
          <t>1920486D US Equity</t>
        </is>
      </c>
      <c r="IG2" s="3" t="inlineStr">
        <is>
          <t>nan Equity</t>
        </is>
      </c>
      <c r="JK2" s="3" t="inlineStr">
        <is>
          <t>GNK US Equity</t>
        </is>
      </c>
      <c r="KO2" s="3" t="inlineStr">
        <is>
          <t>HAFC US Equity</t>
        </is>
      </c>
      <c r="LS2" s="3" t="inlineStr">
        <is>
          <t>AMAT US Equity</t>
        </is>
      </c>
      <c r="MW2" s="3" t="inlineStr">
        <is>
          <t>PPC US Equity</t>
        </is>
      </c>
      <c r="OA2" s="3" t="inlineStr">
        <is>
          <t>PEBO US Equity</t>
        </is>
      </c>
      <c r="PE2" s="3" t="inlineStr">
        <is>
          <t>HON US Equity</t>
        </is>
      </c>
      <c r="QI2" s="3" t="inlineStr">
        <is>
          <t>PRSU US Equity</t>
        </is>
      </c>
      <c r="RM2" s="3" t="inlineStr">
        <is>
          <t>FITB US Equity</t>
        </is>
      </c>
      <c r="SQ2" s="3" t="inlineStr">
        <is>
          <t>XRX US Equity</t>
        </is>
      </c>
      <c r="TU2" s="3" t="inlineStr">
        <is>
          <t>2596516D US Equity</t>
        </is>
      </c>
      <c r="UY2" s="3" t="inlineStr">
        <is>
          <t>BMC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BDS("ICII US Equity","SUPPLY_CHAIN_SUPPLIERS_FULL_DATA")</f>
        <v/>
      </c>
      <c r="O5">
        <f>BDS("ICII US Equity","SUPPLY_CHAIN_CUSTOMERS_FULL_DATA")</f>
        <v/>
      </c>
      <c r="AE5">
        <f>BDS("GDT US Equity","SUPPLY_CHAIN_SUPPLIERS_FULL_DATA")</f>
        <v/>
      </c>
      <c r="AS5">
        <f>BDS("GDT US Equity","SUPPLY_CHAIN_CUSTOMERS_FULL_DATA")</f>
        <v/>
      </c>
      <c r="BI5">
        <f>BDS("SNPS US Equity","SUPPLY_CHAIN_SUPPLIERS_FULL_DATA")</f>
        <v/>
      </c>
      <c r="BW5">
        <f>BDS("SNPS US Equity","SUPPLY_CHAIN_CUSTOMERS_FULL_DATA")</f>
        <v/>
      </c>
      <c r="CM5">
        <f>BDS("STLD US Equity","SUPPLY_CHAIN_SUPPLIERS_FULL_DATA")</f>
        <v/>
      </c>
      <c r="DA5">
        <f>BDS("STLD US Equity","SUPPLY_CHAIN_CUSTOMERS_FULL_DATA")</f>
        <v/>
      </c>
      <c r="DQ5">
        <f>BDS("1996074D US Equity","SUPPLY_CHAIN_SUPPLIERS_FULL_DATA")</f>
        <v/>
      </c>
      <c r="EE5">
        <f>BDS("1996074D US Equity","SUPPLY_CHAIN_CUSTOMERS_FULL_DATA")</f>
        <v/>
      </c>
      <c r="EU5">
        <f>BDS("COV US Equity","SUPPLY_CHAIN_SUPPLIERS_FULL_DATA")</f>
        <v/>
      </c>
      <c r="FI5">
        <f>BDS("COV US Equity","SUPPLY_CHAIN_CUSTOMERS_FULL_DATA")</f>
        <v/>
      </c>
      <c r="FY5">
        <f>BDS("3075558Q US Equity","SUPPLY_CHAIN_SUPPLIERS_FULL_DATA")</f>
        <v/>
      </c>
      <c r="GM5">
        <f>BDS("3075558Q US Equity","SUPPLY_CHAIN_CUSTOMERS_FULL_DATA")</f>
        <v/>
      </c>
      <c r="HC5">
        <f>BDS("1920486D US Equity","SUPPLY_CHAIN_SUPPLIERS_FULL_DATA")</f>
        <v/>
      </c>
      <c r="HQ5">
        <f>BDS("1920486D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BDS("GNK US Equity","SUPPLY_CHAIN_SUPPLIERS_FULL_DATA")</f>
        <v/>
      </c>
      <c r="JY5">
        <f>BDS("GNK US Equity","SUPPLY_CHAIN_CUSTOMERS_FULL_DATA")</f>
        <v/>
      </c>
      <c r="KO5">
        <f>BDS("HAFC US Equity","SUPPLY_CHAIN_SUPPLIERS_FULL_DATA")</f>
        <v/>
      </c>
      <c r="LC5">
        <f>BDS("HAFC US Equity","SUPPLY_CHAIN_CUSTOMERS_FULL_DATA")</f>
        <v/>
      </c>
      <c r="LS5">
        <f>BDS("AMAT US Equity","SUPPLY_CHAIN_SUPPLIERS_FULL_DATA")</f>
        <v/>
      </c>
      <c r="MG5">
        <f>BDS("AMAT US Equity","SUPPLY_CHAIN_CUSTOMERS_FULL_DATA")</f>
        <v/>
      </c>
      <c r="MW5">
        <f>BDS("PPC US Equity","SUPPLY_CHAIN_SUPPLIERS_FULL_DATA")</f>
        <v/>
      </c>
      <c r="NK5">
        <f>BDS("PPC US Equity","SUPPLY_CHAIN_CUSTOMERS_FULL_DATA")</f>
        <v/>
      </c>
      <c r="OA5">
        <f>BDS("PEBO US Equity","SUPPLY_CHAIN_SUPPLIERS_FULL_DATA")</f>
        <v/>
      </c>
      <c r="OO5">
        <f>BDS("PEBO US Equity","SUPPLY_CHAIN_CUSTOMERS_FULL_DATA")</f>
        <v/>
      </c>
      <c r="PE5">
        <f>BDS("HON US Equity","SUPPLY_CHAIN_SUPPLIERS_FULL_DATA")</f>
        <v/>
      </c>
      <c r="PS5">
        <f>BDS("HON US Equity","SUPPLY_CHAIN_CUSTOMERS_FULL_DATA")</f>
        <v/>
      </c>
      <c r="QI5">
        <f>BDS("PRSU US Equity","SUPPLY_CHAIN_SUPPLIERS_FULL_DATA")</f>
        <v/>
      </c>
      <c r="QW5">
        <f>BDS("PRSU US Equity","SUPPLY_CHAIN_CUSTOMERS_FULL_DATA")</f>
        <v/>
      </c>
      <c r="RM5">
        <f>BDS("FITB US Equity","SUPPLY_CHAIN_SUPPLIERS_FULL_DATA")</f>
        <v/>
      </c>
      <c r="SA5">
        <f>BDS("FITB US Equity","SUPPLY_CHAIN_CUSTOMERS_FULL_DATA")</f>
        <v/>
      </c>
      <c r="SQ5">
        <f>BDS("XRX US Equity","SUPPLY_CHAIN_SUPPLIERS_FULL_DATA")</f>
        <v/>
      </c>
      <c r="TE5">
        <f>BDS("XRX US Equity","SUPPLY_CHAIN_CUSTOMERS_FULL_DATA")</f>
        <v/>
      </c>
      <c r="TU5">
        <f>BDS("2596516D US Equity","SUPPLY_CHAIN_SUPPLIERS_FULL_DATA")</f>
        <v/>
      </c>
      <c r="UI5">
        <f>BDS("2596516D US Equity","SUPPLY_CHAIN_CUSTOMERS_FULL_DATA")</f>
        <v/>
      </c>
      <c r="UY5">
        <f>BDS("BMC US Equity","SUPPLY_CHAIN_SUPPLIERS_FULL_DATA")</f>
        <v/>
      </c>
      <c r="VM5">
        <f>BDS("BMC US Equity","SUPPLY_CHAIN_CUSTOMERS_FULL_DATA")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2381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2382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2383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2384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2385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2386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2387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2388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2389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2390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2391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2392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2393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2394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2395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2396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2397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2398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2399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2400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FRME US Equity</t>
        </is>
      </c>
      <c r="AE2" s="3" t="inlineStr">
        <is>
          <t>UPBD US Equity</t>
        </is>
      </c>
      <c r="BI2" s="3" t="inlineStr">
        <is>
          <t>PBKS US Equity</t>
        </is>
      </c>
      <c r="CM2" s="3" t="inlineStr">
        <is>
          <t>FSH US Equity</t>
        </is>
      </c>
      <c r="DQ2" s="3" t="inlineStr">
        <is>
          <t>ANSS US Equity</t>
        </is>
      </c>
      <c r="EU2" s="3" t="inlineStr">
        <is>
          <t>ITW US Equity</t>
        </is>
      </c>
      <c r="FY2" s="3" t="inlineStr">
        <is>
          <t>CDNS US Equity</t>
        </is>
      </c>
      <c r="HC2" s="3" t="inlineStr">
        <is>
          <t>1023761D US Equity</t>
        </is>
      </c>
      <c r="IG2" s="3" t="inlineStr">
        <is>
          <t>0941825D US Equity</t>
        </is>
      </c>
      <c r="JK2" s="3" t="inlineStr">
        <is>
          <t>GLK US Equity</t>
        </is>
      </c>
      <c r="KO2" s="3" t="inlineStr">
        <is>
          <t>MCDTA US Equity</t>
        </is>
      </c>
      <c r="LS2" s="3" t="inlineStr">
        <is>
          <t>2313711D US Equity</t>
        </is>
      </c>
      <c r="MW2" s="3" t="inlineStr">
        <is>
          <t>GE US Equity</t>
        </is>
      </c>
      <c r="OA2" s="3" t="inlineStr">
        <is>
          <t>CRI US Equity</t>
        </is>
      </c>
      <c r="PE2" s="3" t="inlineStr">
        <is>
          <t>HAL US Equity</t>
        </is>
      </c>
      <c r="QI2" s="3" t="inlineStr">
        <is>
          <t>ACH US Equity</t>
        </is>
      </c>
      <c r="RM2" s="3" t="inlineStr">
        <is>
          <t>COLB US Equity</t>
        </is>
      </c>
      <c r="SQ2" s="3" t="inlineStr">
        <is>
          <t>AME US Equity</t>
        </is>
      </c>
      <c r="TU2" s="3" t="inlineStr">
        <is>
          <t>9993232D US Equity</t>
        </is>
      </c>
      <c r="UY2" s="3" t="inlineStr">
        <is>
          <t>0687288D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BDS("FRME US Equity","SUPPLY_CHAIN_SUPPLIERS_FULL_DATA")</f>
        <v/>
      </c>
      <c r="O5">
        <f>BDS("FRME US Equity","SUPPLY_CHAIN_CUSTOMERS_FULL_DATA")</f>
        <v/>
      </c>
      <c r="AE5">
        <f>BDS("UPBD US Equity","SUPPLY_CHAIN_SUPPLIERS_FULL_DATA")</f>
        <v/>
      </c>
      <c r="AS5">
        <f>BDS("UPBD US Equity","SUPPLY_CHAIN_CUSTOMERS_FULL_DATA")</f>
        <v/>
      </c>
      <c r="BI5">
        <f>BDS("PBKS US Equity","SUPPLY_CHAIN_SUPPLIERS_FULL_DATA")</f>
        <v/>
      </c>
      <c r="BW5">
        <f>BDS("PBKS US Equity","SUPPLY_CHAIN_CUSTOMERS_FULL_DATA")</f>
        <v/>
      </c>
      <c r="CM5">
        <f>BDS("FSH US Equity","SUPPLY_CHAIN_SUPPLIERS_FULL_DATA")</f>
        <v/>
      </c>
      <c r="DA5">
        <f>BDS("FSH US Equity","SUPPLY_CHAIN_CUSTOMERS_FULL_DATA")</f>
        <v/>
      </c>
      <c r="DQ5">
        <f>BDS("ANSS US Equity","SUPPLY_CHAIN_SUPPLIERS_FULL_DATA")</f>
        <v/>
      </c>
      <c r="EE5">
        <f>BDS("ANSS US Equity","SUPPLY_CHAIN_CUSTOMERS_FULL_DATA")</f>
        <v/>
      </c>
      <c r="EU5">
        <f>BDS("ITW US Equity","SUPPLY_CHAIN_SUPPLIERS_FULL_DATA")</f>
        <v/>
      </c>
      <c r="FI5">
        <f>BDS("ITW US Equity","SUPPLY_CHAIN_CUSTOMERS_FULL_DATA")</f>
        <v/>
      </c>
      <c r="FY5">
        <f>BDS("CDNS US Equity","SUPPLY_CHAIN_SUPPLIERS_FULL_DATA")</f>
        <v/>
      </c>
      <c r="GM5">
        <f>BDS("CDNS US Equity","SUPPLY_CHAIN_CUSTOMERS_FULL_DATA")</f>
        <v/>
      </c>
      <c r="HC5">
        <f>BDS("1023761D US Equity","SUPPLY_CHAIN_SUPPLIERS_FULL_DATA")</f>
        <v/>
      </c>
      <c r="HQ5">
        <f>BDS("1023761D US Equity","SUPPLY_CHAIN_CUSTOMERS_FULL_DATA")</f>
        <v/>
      </c>
      <c r="IG5">
        <f>BDS("0941825D US Equity","SUPPLY_CHAIN_SUPPLIERS_FULL_DATA")</f>
        <v/>
      </c>
      <c r="IU5">
        <f>BDS("0941825D US Equity","SUPPLY_CHAIN_CUSTOMERS_FULL_DATA")</f>
        <v/>
      </c>
      <c r="JK5">
        <f>BDS("GLK US Equity","SUPPLY_CHAIN_SUPPLIERS_FULL_DATA")</f>
        <v/>
      </c>
      <c r="JY5">
        <f>BDS("GLK US Equity","SUPPLY_CHAIN_CUSTOMERS_FULL_DATA")</f>
        <v/>
      </c>
      <c r="KO5">
        <f>BDS("MCDTA US Equity","SUPPLY_CHAIN_SUPPLIERS_FULL_DATA")</f>
        <v/>
      </c>
      <c r="LC5">
        <f>BDS("MCDTA US Equity","SUPPLY_CHAIN_CUSTOMERS_FULL_DATA")</f>
        <v/>
      </c>
      <c r="LS5">
        <f>BDS("2313711D US Equity","SUPPLY_CHAIN_SUPPLIERS_FULL_DATA")</f>
        <v/>
      </c>
      <c r="MG5">
        <f>BDS("2313711D US Equity","SUPPLY_CHAIN_CUSTOMERS_FULL_DATA")</f>
        <v/>
      </c>
      <c r="MW5">
        <f>BDS("GE US Equity","SUPPLY_CHAIN_SUPPLIERS_FULL_DATA")</f>
        <v/>
      </c>
      <c r="NK5">
        <f>BDS("GE US Equity","SUPPLY_CHAIN_CUSTOMERS_FULL_DATA")</f>
        <v/>
      </c>
      <c r="OA5">
        <f>BDS("CRI US Equity","SUPPLY_CHAIN_SUPPLIERS_FULL_DATA")</f>
        <v/>
      </c>
      <c r="OO5">
        <f>BDS("CRI US Equity","SUPPLY_CHAIN_CUSTOMERS_FULL_DATA")</f>
        <v/>
      </c>
      <c r="PE5">
        <f>BDS("HAL US Equity","SUPPLY_CHAIN_SUPPLIERS_FULL_DATA")</f>
        <v/>
      </c>
      <c r="PS5">
        <f>BDS("HAL US Equity","SUPPLY_CHAIN_CUSTOMERS_FULL_DATA")</f>
        <v/>
      </c>
      <c r="QI5">
        <f>BDS("ACH US Equity","SUPPLY_CHAIN_SUPPLIERS_FULL_DATA")</f>
        <v/>
      </c>
      <c r="QW5">
        <f>BDS("ACH US Equity","SUPPLY_CHAIN_CUSTOMERS_FULL_DATA")</f>
        <v/>
      </c>
      <c r="RM5">
        <f>BDS("COLB US Equity","SUPPLY_CHAIN_SUPPLIERS_FULL_DATA")</f>
        <v/>
      </c>
      <c r="SA5">
        <f>BDS("COLB US Equity","SUPPLY_CHAIN_CUSTOMERS_FULL_DATA")</f>
        <v/>
      </c>
      <c r="SQ5">
        <f>BDS("AME US Equity","SUPPLY_CHAIN_SUPPLIERS_FULL_DATA")</f>
        <v/>
      </c>
      <c r="TE5">
        <f>BDS("AME US Equity","SUPPLY_CHAIN_CUSTOMERS_FULL_DATA")</f>
        <v/>
      </c>
      <c r="TU5">
        <f>BDS("9993232D US Equity","SUPPLY_CHAIN_SUPPLIERS_FULL_DATA")</f>
        <v/>
      </c>
      <c r="UI5">
        <f>BDS("9993232D US Equity","SUPPLY_CHAIN_CUSTOMERS_FULL_DATA")</f>
        <v/>
      </c>
      <c r="UY5">
        <f>BDS("0687288D US Equity","SUPPLY_CHAIN_SUPPLIERS_FULL_DATA")</f>
        <v/>
      </c>
      <c r="VM5">
        <f>BDS("0687288D US Equity","SUPPLY_CHAIN_CUSTOMERS_FULL_DATA")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2401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2402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2403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2404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2405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2406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2407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2408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2409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2410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2411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2412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2413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2414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2415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2416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2417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2418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2419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2420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BHE US Equity</t>
        </is>
      </c>
      <c r="AE2" s="3" t="inlineStr">
        <is>
          <t>BAX US Equity</t>
        </is>
      </c>
      <c r="BI2" s="3" t="inlineStr">
        <is>
          <t>TER US Equity</t>
        </is>
      </c>
      <c r="CM2" s="3" t="inlineStr">
        <is>
          <t>1567696D US Equity</t>
        </is>
      </c>
      <c r="DQ2" s="3" t="inlineStr">
        <is>
          <t>ASB US Equity</t>
        </is>
      </c>
      <c r="EU2" s="3" t="inlineStr">
        <is>
          <t>FRME US Equity</t>
        </is>
      </c>
      <c r="FY2" s="3" t="inlineStr">
        <is>
          <t>3346Q US Equity</t>
        </is>
      </c>
      <c r="HC2" s="3" t="inlineStr">
        <is>
          <t>DLTR US Equity</t>
        </is>
      </c>
      <c r="IG2" s="3" t="inlineStr">
        <is>
          <t>GNLN US Equity</t>
        </is>
      </c>
      <c r="JK2" s="3" t="inlineStr">
        <is>
          <t>1537336D US Equity</t>
        </is>
      </c>
      <c r="KO2" s="3" t="inlineStr">
        <is>
          <t>PACW US Equity</t>
        </is>
      </c>
      <c r="LS2" s="3" t="inlineStr">
        <is>
          <t>SCUR US Equity</t>
        </is>
      </c>
      <c r="MW2" s="3" t="inlineStr">
        <is>
          <t>TWC US Equity</t>
        </is>
      </c>
      <c r="OA2" s="3" t="inlineStr">
        <is>
          <t>TDW US Equity</t>
        </is>
      </c>
      <c r="PE2" s="3" t="inlineStr">
        <is>
          <t>FCHDQ US Equity</t>
        </is>
      </c>
      <c r="QI2" s="3" t="inlineStr">
        <is>
          <t>BLKB US Equity</t>
        </is>
      </c>
      <c r="RM2" s="3" t="inlineStr">
        <is>
          <t>2217881D US Equity</t>
        </is>
      </c>
      <c r="SQ2" s="3" t="inlineStr">
        <is>
          <t>1847569D US Equity</t>
        </is>
      </c>
      <c r="TU2" s="3" t="inlineStr">
        <is>
          <t>3017264Q US Equity</t>
        </is>
      </c>
      <c r="UY2" s="3" t="inlineStr">
        <is>
          <t>UBSI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BDS("BHE US Equity","SUPPLY_CHAIN_SUPPLIERS_FULL_DATA")</f>
        <v/>
      </c>
      <c r="O5">
        <f>BDS("BHE US Equity","SUPPLY_CHAIN_CUSTOMERS_FULL_DATA")</f>
        <v/>
      </c>
      <c r="AE5">
        <f>BDS("BAX US Equity","SUPPLY_CHAIN_SUPPLIERS_FULL_DATA")</f>
        <v/>
      </c>
      <c r="AS5">
        <f>BDS("BAX US Equity","SUPPLY_CHAIN_CUSTOMERS_FULL_DATA")</f>
        <v/>
      </c>
      <c r="BI5">
        <f>BDS("TER US Equity","SUPPLY_CHAIN_SUPPLIERS_FULL_DATA")</f>
        <v/>
      </c>
      <c r="BW5">
        <f>BDS("TER US Equity","SUPPLY_CHAIN_CUSTOMERS_FULL_DATA")</f>
        <v/>
      </c>
      <c r="CM5">
        <f>BDS("1567696D US Equity","SUPPLY_CHAIN_SUPPLIERS_FULL_DATA")</f>
        <v/>
      </c>
      <c r="DA5">
        <f>BDS("1567696D US Equity","SUPPLY_CHAIN_CUSTOMERS_FULL_DATA")</f>
        <v/>
      </c>
      <c r="DQ5">
        <f>BDS("ASB US Equity","SUPPLY_CHAIN_SUPPLIERS_FULL_DATA")</f>
        <v/>
      </c>
      <c r="EE5">
        <f>BDS("ASB US Equity","SUPPLY_CHAIN_CUSTOMERS_FULL_DATA")</f>
        <v/>
      </c>
      <c r="EU5">
        <f>BDS("FRME US Equity","SUPPLY_CHAIN_SUPPLIERS_FULL_DATA")</f>
        <v/>
      </c>
      <c r="FI5">
        <f>BDS("FRME US Equity","SUPPLY_CHAIN_CUSTOMERS_FULL_DATA")</f>
        <v/>
      </c>
      <c r="FY5">
        <f>BDS("3346Q US Equity","SUPPLY_CHAIN_SUPPLIERS_FULL_DATA")</f>
        <v/>
      </c>
      <c r="GM5">
        <f>BDS("3346Q US Equity","SUPPLY_CHAIN_CUSTOMERS_FULL_DATA")</f>
        <v/>
      </c>
      <c r="HC5">
        <f>BDS("DLTR US Equity","SUPPLY_CHAIN_SUPPLIERS_FULL_DATA")</f>
        <v/>
      </c>
      <c r="HQ5">
        <f>BDS("DLTR US Equity","SUPPLY_CHAIN_CUSTOMERS_FULL_DATA")</f>
        <v/>
      </c>
      <c r="IG5">
        <f>BDS("GNLN US Equity","SUPPLY_CHAIN_SUPPLIERS_FULL_DATA")</f>
        <v/>
      </c>
      <c r="IU5">
        <f>BDS("GNLN US Equity","SUPPLY_CHAIN_CUSTOMERS_FULL_DATA")</f>
        <v/>
      </c>
      <c r="JK5">
        <f>BDS("1537336D US Equity","SUPPLY_CHAIN_SUPPLIERS_FULL_DATA")</f>
        <v/>
      </c>
      <c r="JY5">
        <f>BDS("1537336D US Equity","SUPPLY_CHAIN_CUSTOMERS_FULL_DATA")</f>
        <v/>
      </c>
      <c r="KO5">
        <f>BDS("PACW US Equity","SUPPLY_CHAIN_SUPPLIERS_FULL_DATA")</f>
        <v/>
      </c>
      <c r="LC5">
        <f>BDS("PACW US Equity","SUPPLY_CHAIN_CUSTOMERS_FULL_DATA")</f>
        <v/>
      </c>
      <c r="LS5">
        <f>BDS("SCUR US Equity","SUPPLY_CHAIN_SUPPLIERS_FULL_DATA")</f>
        <v/>
      </c>
      <c r="MG5">
        <f>BDS("SCUR US Equity","SUPPLY_CHAIN_CUSTOMERS_FULL_DATA")</f>
        <v/>
      </c>
      <c r="MW5">
        <f>BDS("TWC US Equity","SUPPLY_CHAIN_SUPPLIERS_FULL_DATA")</f>
        <v/>
      </c>
      <c r="NK5">
        <f>BDS("TWC US Equity","SUPPLY_CHAIN_CUSTOMERS_FULL_DATA")</f>
        <v/>
      </c>
      <c r="OA5">
        <f>BDS("TDW US Equity","SUPPLY_CHAIN_SUPPLIERS_FULL_DATA")</f>
        <v/>
      </c>
      <c r="OO5">
        <f>BDS("TDW US Equity","SUPPLY_CHAIN_CUSTOMERS_FULL_DATA")</f>
        <v/>
      </c>
      <c r="PE5">
        <f>BDS("FCHDQ US Equity","SUPPLY_CHAIN_SUPPLIERS_FULL_DATA")</f>
        <v/>
      </c>
      <c r="PS5">
        <f>BDS("FCHDQ US Equity","SUPPLY_CHAIN_CUSTOMERS_FULL_DATA")</f>
        <v/>
      </c>
      <c r="QI5">
        <f>BDS("BLKB US Equity","SUPPLY_CHAIN_SUPPLIERS_FULL_DATA")</f>
        <v/>
      </c>
      <c r="QW5">
        <f>BDS("BLKB US Equity","SUPPLY_CHAIN_CUSTOMERS_FULL_DATA")</f>
        <v/>
      </c>
      <c r="RM5">
        <f>BDS("2217881D US Equity","SUPPLY_CHAIN_SUPPLIERS_FULL_DATA")</f>
        <v/>
      </c>
      <c r="SA5">
        <f>BDS("2217881D US Equity","SUPPLY_CHAIN_CUSTOMERS_FULL_DATA")</f>
        <v/>
      </c>
      <c r="SQ5">
        <f>BDS("1847569D US Equity","SUPPLY_CHAIN_SUPPLIERS_FULL_DATA")</f>
        <v/>
      </c>
      <c r="TE5">
        <f>BDS("1847569D US Equity","SUPPLY_CHAIN_CUSTOMERS_FULL_DATA")</f>
        <v/>
      </c>
      <c r="TU5">
        <f>BDS("3017264Q US Equity","SUPPLY_CHAIN_SUPPLIERS_FULL_DATA")</f>
        <v/>
      </c>
      <c r="UI5">
        <f>BDS("3017264Q US Equity","SUPPLY_CHAIN_CUSTOMERS_FULL_DATA")</f>
        <v/>
      </c>
      <c r="UY5">
        <f>BDS("UBSI US Equity","SUPPLY_CHAIN_SUPPLIERS_FULL_DATA")</f>
        <v/>
      </c>
      <c r="VM5">
        <f>BDS("UBSI US Equity","SUPPLY_CHAIN_CUSTOMERS_FULL_DATA")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2421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2422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2423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2424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2425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2426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2427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2428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2429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2430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2431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2432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2433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2434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2435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2436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2437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2438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2439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2440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2326248D US Equity</t>
        </is>
      </c>
      <c r="AE2" s="3" t="inlineStr">
        <is>
          <t>BGGSQ US Equity</t>
        </is>
      </c>
      <c r="BI2" s="3" t="inlineStr">
        <is>
          <t>CVG US Equity</t>
        </is>
      </c>
      <c r="CM2" s="3" t="inlineStr">
        <is>
          <t>DIS US Equity</t>
        </is>
      </c>
      <c r="DQ2" s="3" t="inlineStr">
        <is>
          <t>FLG US Equity</t>
        </is>
      </c>
      <c r="EU2" s="3" t="inlineStr">
        <is>
          <t>BHC CN Equity</t>
        </is>
      </c>
      <c r="FY2" s="3" t="inlineStr">
        <is>
          <t>KTOS US Equity</t>
        </is>
      </c>
      <c r="HC2" s="3" t="inlineStr">
        <is>
          <t>SYBT US Equity</t>
        </is>
      </c>
      <c r="IG2" s="3" t="inlineStr">
        <is>
          <t>PFS US Equity</t>
        </is>
      </c>
      <c r="JK2" s="3" t="inlineStr">
        <is>
          <t>ZLC US Equity</t>
        </is>
      </c>
      <c r="KO2" s="3" t="inlineStr">
        <is>
          <t>APC US Equity</t>
        </is>
      </c>
      <c r="LS2" s="3" t="inlineStr">
        <is>
          <t>KG US Equity</t>
        </is>
      </c>
      <c r="MW2" s="3" t="inlineStr">
        <is>
          <t>GLW US Equity</t>
        </is>
      </c>
      <c r="OA2" s="3" t="inlineStr">
        <is>
          <t>TRA US Equity</t>
        </is>
      </c>
      <c r="PE2" s="3" t="inlineStr">
        <is>
          <t>TOWN US Equity</t>
        </is>
      </c>
      <c r="QI2" s="3" t="inlineStr">
        <is>
          <t>CLM US Equity</t>
        </is>
      </c>
      <c r="RM2" s="3" t="inlineStr">
        <is>
          <t>CAR US Equity</t>
        </is>
      </c>
      <c r="SQ2" s="3" t="inlineStr">
        <is>
          <t>MFE US Equity</t>
        </is>
      </c>
      <c r="TU2" s="3" t="inlineStr">
        <is>
          <t>DIOD US Equity</t>
        </is>
      </c>
      <c r="UY2" s="3" t="inlineStr">
        <is>
          <t>3024Q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BDS("2326248D US Equity","SUPPLY_CHAIN_SUPPLIERS_FULL_DATA")</f>
        <v/>
      </c>
      <c r="O5">
        <f>BDS("2326248D US Equity","SUPPLY_CHAIN_CUSTOMERS_FULL_DATA")</f>
        <v/>
      </c>
      <c r="AE5">
        <f>BDS("BGGSQ US Equity","SUPPLY_CHAIN_SUPPLIERS_FULL_DATA")</f>
        <v/>
      </c>
      <c r="AS5">
        <f>BDS("BGGSQ US Equity","SUPPLY_CHAIN_CUSTOMERS_FULL_DATA")</f>
        <v/>
      </c>
      <c r="BI5">
        <f>BDS("CVG US Equity","SUPPLY_CHAIN_SUPPLIERS_FULL_DATA")</f>
        <v/>
      </c>
      <c r="BW5">
        <f>BDS("CVG US Equity","SUPPLY_CHAIN_CUSTOMERS_FULL_DATA")</f>
        <v/>
      </c>
      <c r="CM5">
        <f>BDS("DIS US Equity","SUPPLY_CHAIN_SUPPLIERS_FULL_DATA")</f>
        <v/>
      </c>
      <c r="DA5">
        <f>BDS("DIS US Equity","SUPPLY_CHAIN_CUSTOMERS_FULL_DATA")</f>
        <v/>
      </c>
      <c r="DQ5">
        <f>BDS("FLG US Equity","SUPPLY_CHAIN_SUPPLIERS_FULL_DATA")</f>
        <v/>
      </c>
      <c r="EE5">
        <f>BDS("FLG US Equity","SUPPLY_CHAIN_CUSTOMERS_FULL_DATA")</f>
        <v/>
      </c>
      <c r="EU5">
        <f>BDS("BHC CN Equity","SUPPLY_CHAIN_SUPPLIERS_FULL_DATA")</f>
        <v/>
      </c>
      <c r="FI5">
        <f>BDS("BHC CN Equity","SUPPLY_CHAIN_CUSTOMERS_FULL_DATA")</f>
        <v/>
      </c>
      <c r="FY5">
        <f>BDS("KTOS US Equity","SUPPLY_CHAIN_SUPPLIERS_FULL_DATA")</f>
        <v/>
      </c>
      <c r="GM5">
        <f>BDS("KTOS US Equity","SUPPLY_CHAIN_CUSTOMERS_FULL_DATA")</f>
        <v/>
      </c>
      <c r="HC5">
        <f>BDS("SYBT US Equity","SUPPLY_CHAIN_SUPPLIERS_FULL_DATA")</f>
        <v/>
      </c>
      <c r="HQ5">
        <f>BDS("SYBT US Equity","SUPPLY_CHAIN_CUSTOMERS_FULL_DATA")</f>
        <v/>
      </c>
      <c r="IG5">
        <f>BDS("PFS US Equity","SUPPLY_CHAIN_SUPPLIERS_FULL_DATA")</f>
        <v/>
      </c>
      <c r="IU5">
        <f>BDS("PFS US Equity","SUPPLY_CHAIN_CUSTOMERS_FULL_DATA")</f>
        <v/>
      </c>
      <c r="JK5">
        <f>BDS("ZLC US Equity","SUPPLY_CHAIN_SUPPLIERS_FULL_DATA")</f>
        <v/>
      </c>
      <c r="JY5">
        <f>BDS("ZLC US Equity","SUPPLY_CHAIN_CUSTOMERS_FULL_DATA")</f>
        <v/>
      </c>
      <c r="KO5">
        <f>BDS("APC US Equity","SUPPLY_CHAIN_SUPPLIERS_FULL_DATA")</f>
        <v/>
      </c>
      <c r="LC5">
        <f>BDS("APC US Equity","SUPPLY_CHAIN_CUSTOMERS_FULL_DATA")</f>
        <v/>
      </c>
      <c r="LS5">
        <f>BDS("KG US Equity","SUPPLY_CHAIN_SUPPLIERS_FULL_DATA")</f>
        <v/>
      </c>
      <c r="MG5">
        <f>BDS("KG US Equity","SUPPLY_CHAIN_CUSTOMERS_FULL_DATA")</f>
        <v/>
      </c>
      <c r="MW5">
        <f>BDS("GLW US Equity","SUPPLY_CHAIN_SUPPLIERS_FULL_DATA")</f>
        <v/>
      </c>
      <c r="NK5">
        <f>BDS("GLW US Equity","SUPPLY_CHAIN_CUSTOMERS_FULL_DATA")</f>
        <v/>
      </c>
      <c r="OA5">
        <f>BDS("TRA US Equity","SUPPLY_CHAIN_SUPPLIERS_FULL_DATA")</f>
        <v/>
      </c>
      <c r="OO5">
        <f>BDS("TRA US Equity","SUPPLY_CHAIN_CUSTOMERS_FULL_DATA")</f>
        <v/>
      </c>
      <c r="PE5">
        <f>BDS("TOWN US Equity","SUPPLY_CHAIN_SUPPLIERS_FULL_DATA")</f>
        <v/>
      </c>
      <c r="PS5">
        <f>BDS("TOWN US Equity","SUPPLY_CHAIN_CUSTOMERS_FULL_DATA")</f>
        <v/>
      </c>
      <c r="QI5">
        <f>BDS("CLM US Equity","SUPPLY_CHAIN_SUPPLIERS_FULL_DATA")</f>
        <v/>
      </c>
      <c r="QW5">
        <f>BDS("CLM US Equity","SUPPLY_CHAIN_CUSTOMERS_FULL_DATA")</f>
        <v/>
      </c>
      <c r="RM5">
        <f>BDS("CAR US Equity","SUPPLY_CHAIN_SUPPLIERS_FULL_DATA")</f>
        <v/>
      </c>
      <c r="SA5">
        <f>BDS("CAR US Equity","SUPPLY_CHAIN_CUSTOMERS_FULL_DATA")</f>
        <v/>
      </c>
      <c r="SQ5">
        <f>BDS("MFE US Equity","SUPPLY_CHAIN_SUPPLIERS_FULL_DATA")</f>
        <v/>
      </c>
      <c r="TE5">
        <f>BDS("MFE US Equity","SUPPLY_CHAIN_CUSTOMERS_FULL_DATA")</f>
        <v/>
      </c>
      <c r="TU5">
        <f>BDS("DIOD US Equity","SUPPLY_CHAIN_SUPPLIERS_FULL_DATA")</f>
        <v/>
      </c>
      <c r="UI5">
        <f>BDS("DIOD US Equity","SUPPLY_CHAIN_CUSTOMERS_FULL_DATA")</f>
        <v/>
      </c>
      <c r="UY5">
        <f>BDS("3024Q US Equity","SUPPLY_CHAIN_SUPPLIERS_FULL_DATA")</f>
        <v/>
      </c>
      <c r="VM5">
        <f>BDS("3024Q US Equity","SUPPLY_CHAIN_CUSTOMERS_FULL_DATA")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2441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2442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2443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2444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2445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2446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2447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2448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2449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2450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2451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2452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2453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2454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2455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2456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2457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2458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2459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2460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390297Q US Equity</t>
        </is>
      </c>
      <c r="AE2" s="3" t="inlineStr">
        <is>
          <t>ANAT US Equity</t>
        </is>
      </c>
      <c r="BI2" s="3" t="inlineStr">
        <is>
          <t>STJ US Equity</t>
        </is>
      </c>
      <c r="CM2" s="3" t="inlineStr">
        <is>
          <t>WFC US Equity</t>
        </is>
      </c>
      <c r="DQ2" s="3" t="inlineStr">
        <is>
          <t>HTRN US Equity</t>
        </is>
      </c>
      <c r="EU2" s="3" t="inlineStr">
        <is>
          <t>HCBK US Equity</t>
        </is>
      </c>
      <c r="FY2" s="3" t="inlineStr">
        <is>
          <t>MAFB US Equity</t>
        </is>
      </c>
      <c r="HC2" s="3" t="inlineStr">
        <is>
          <t>JNY US Equity</t>
        </is>
      </c>
      <c r="IG2" s="3" t="inlineStr">
        <is>
          <t>KMB US Equity</t>
        </is>
      </c>
      <c r="JK2" s="3" t="inlineStr">
        <is>
          <t>SUSQ US Equity</t>
        </is>
      </c>
      <c r="KO2" s="3" t="inlineStr">
        <is>
          <t>nan Equity</t>
        </is>
      </c>
      <c r="LS2" s="3" t="inlineStr">
        <is>
          <t>JDAS US Equity</t>
        </is>
      </c>
      <c r="MW2" s="3" t="inlineStr">
        <is>
          <t>BHC CN Equity</t>
        </is>
      </c>
      <c r="OA2" s="3" t="inlineStr">
        <is>
          <t>MEDQ US Equity</t>
        </is>
      </c>
      <c r="PE2" s="3" t="inlineStr">
        <is>
          <t>XPO US Equity</t>
        </is>
      </c>
      <c r="QI2" s="3" t="inlineStr">
        <is>
          <t>PGR US Equity</t>
        </is>
      </c>
      <c r="RM2" s="3" t="inlineStr">
        <is>
          <t>ATNY US Equity</t>
        </is>
      </c>
      <c r="SQ2" s="3" t="inlineStr">
        <is>
          <t>HOPE US Equity</t>
        </is>
      </c>
      <c r="TU2" s="3" t="inlineStr">
        <is>
          <t>SRGAQ US Equity</t>
        </is>
      </c>
      <c r="UY2" s="3" t="inlineStr">
        <is>
          <t>ECL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BDS("390297Q US Equity","SUPPLY_CHAIN_SUPPLIERS_FULL_DATA")</f>
        <v/>
      </c>
      <c r="O5">
        <f>BDS("390297Q US Equity","SUPPLY_CHAIN_CUSTOMERS_FULL_DATA")</f>
        <v/>
      </c>
      <c r="AE5">
        <f>BDS("ANAT US Equity","SUPPLY_CHAIN_SUPPLIERS_FULL_DATA")</f>
        <v/>
      </c>
      <c r="AS5">
        <f>BDS("ANAT US Equity","SUPPLY_CHAIN_CUSTOMERS_FULL_DATA")</f>
        <v/>
      </c>
      <c r="BI5">
        <f>BDS("STJ US Equity","SUPPLY_CHAIN_SUPPLIERS_FULL_DATA")</f>
        <v/>
      </c>
      <c r="BW5">
        <f>BDS("STJ US Equity","SUPPLY_CHAIN_CUSTOMERS_FULL_DATA")</f>
        <v/>
      </c>
      <c r="CM5">
        <f>BDS("WFC US Equity","SUPPLY_CHAIN_SUPPLIERS_FULL_DATA")</f>
        <v/>
      </c>
      <c r="DA5">
        <f>BDS("WFC US Equity","SUPPLY_CHAIN_CUSTOMERS_FULL_DATA")</f>
        <v/>
      </c>
      <c r="DQ5">
        <f>BDS("HTRN US Equity","SUPPLY_CHAIN_SUPPLIERS_FULL_DATA")</f>
        <v/>
      </c>
      <c r="EE5">
        <f>BDS("HTRN US Equity","SUPPLY_CHAIN_CUSTOMERS_FULL_DATA")</f>
        <v/>
      </c>
      <c r="EU5">
        <f>BDS("HCBK US Equity","SUPPLY_CHAIN_SUPPLIERS_FULL_DATA")</f>
        <v/>
      </c>
      <c r="FI5">
        <f>BDS("HCBK US Equity","SUPPLY_CHAIN_CUSTOMERS_FULL_DATA")</f>
        <v/>
      </c>
      <c r="FY5">
        <f>BDS("MAFB US Equity","SUPPLY_CHAIN_SUPPLIERS_FULL_DATA")</f>
        <v/>
      </c>
      <c r="GM5">
        <f>BDS("MAFB US Equity","SUPPLY_CHAIN_CUSTOMERS_FULL_DATA")</f>
        <v/>
      </c>
      <c r="HC5">
        <f>BDS("JNY US Equity","SUPPLY_CHAIN_SUPPLIERS_FULL_DATA")</f>
        <v/>
      </c>
      <c r="HQ5">
        <f>BDS("JNY US Equity","SUPPLY_CHAIN_CUSTOMERS_FULL_DATA")</f>
        <v/>
      </c>
      <c r="IG5">
        <f>BDS("KMB US Equity","SUPPLY_CHAIN_SUPPLIERS_FULL_DATA")</f>
        <v/>
      </c>
      <c r="IU5">
        <f>BDS("KMB US Equity","SUPPLY_CHAIN_CUSTOMERS_FULL_DATA")</f>
        <v/>
      </c>
      <c r="JK5">
        <f>BDS("SUSQ US Equity","SUPPLY_CHAIN_SUPPLIERS_FULL_DATA")</f>
        <v/>
      </c>
      <c r="JY5">
        <f>BDS("SUSQ US Equity","SUPPLY_CHAIN_CUSTOMERS_FULL_DATA")</f>
        <v/>
      </c>
      <c r="KO5">
        <f>BDS("nan Equity","SUPPLY_CHAIN_SUPPLIERS_FULL_DATA")</f>
        <v/>
      </c>
      <c r="LC5">
        <f>BDS("nan Equity","SUPPLY_CHAIN_CUSTOMERS_FULL_DATA")</f>
        <v/>
      </c>
      <c r="LS5">
        <f>BDS("JDAS US Equity","SUPPLY_CHAIN_SUPPLIERS_FULL_DATA")</f>
        <v/>
      </c>
      <c r="MG5">
        <f>BDS("JDAS US Equity","SUPPLY_CHAIN_CUSTOMERS_FULL_DATA")</f>
        <v/>
      </c>
      <c r="MW5">
        <f>BDS("BHC CN Equity","SUPPLY_CHAIN_SUPPLIERS_FULL_DATA")</f>
        <v/>
      </c>
      <c r="NK5">
        <f>BDS("BHC CN Equity","SUPPLY_CHAIN_CUSTOMERS_FULL_DATA")</f>
        <v/>
      </c>
      <c r="OA5">
        <f>BDS("MEDQ US Equity","SUPPLY_CHAIN_SUPPLIERS_FULL_DATA")</f>
        <v/>
      </c>
      <c r="OO5">
        <f>BDS("MEDQ US Equity","SUPPLY_CHAIN_CUSTOMERS_FULL_DATA")</f>
        <v/>
      </c>
      <c r="PE5">
        <f>BDS("XPO US Equity","SUPPLY_CHAIN_SUPPLIERS_FULL_DATA")</f>
        <v/>
      </c>
      <c r="PS5">
        <f>BDS("XPO US Equity","SUPPLY_CHAIN_CUSTOMERS_FULL_DATA")</f>
        <v/>
      </c>
      <c r="QI5">
        <f>BDS("PGR US Equity","SUPPLY_CHAIN_SUPPLIERS_FULL_DATA")</f>
        <v/>
      </c>
      <c r="QW5">
        <f>BDS("PGR US Equity","SUPPLY_CHAIN_CUSTOMERS_FULL_DATA")</f>
        <v/>
      </c>
      <c r="RM5">
        <f>BDS("ATNY US Equity","SUPPLY_CHAIN_SUPPLIERS_FULL_DATA")</f>
        <v/>
      </c>
      <c r="SA5">
        <f>BDS("ATNY US Equity","SUPPLY_CHAIN_CUSTOMERS_FULL_DATA")</f>
        <v/>
      </c>
      <c r="SQ5">
        <f>BDS("HOPE US Equity","SUPPLY_CHAIN_SUPPLIERS_FULL_DATA")</f>
        <v/>
      </c>
      <c r="TE5">
        <f>BDS("HOPE US Equity","SUPPLY_CHAIN_CUSTOMERS_FULL_DATA")</f>
        <v/>
      </c>
      <c r="TU5">
        <f>BDS("SRGAQ US Equity","SUPPLY_CHAIN_SUPPLIERS_FULL_DATA")</f>
        <v/>
      </c>
      <c r="UI5">
        <f>BDS("SRGAQ US Equity","SUPPLY_CHAIN_CUSTOMERS_FULL_DATA")</f>
        <v/>
      </c>
      <c r="UY5">
        <f>BDS("ECL US Equity","SUPPLY_CHAIN_SUPPLIERS_FULL_DATA")</f>
        <v/>
      </c>
      <c r="VM5">
        <f>BDS("ECL US Equity","SUPPLY_CHAIN_CUSTOMERS_FULL_DATA")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2461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2462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2463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2464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2465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2466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2467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2468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2469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2470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2471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2472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2473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2474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2475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2476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2477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2478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2479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2480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KTOS US Equity</t>
        </is>
      </c>
      <c r="AE2" s="3" t="inlineStr">
        <is>
          <t>ENDPQ US Equity</t>
        </is>
      </c>
      <c r="BI2" s="3" t="inlineStr">
        <is>
          <t>DHI US Equity</t>
        </is>
      </c>
      <c r="CM2" s="3" t="inlineStr">
        <is>
          <t>MO US Equity</t>
        </is>
      </c>
      <c r="DQ2" s="3" t="inlineStr">
        <is>
          <t>FFWM US Equity</t>
        </is>
      </c>
      <c r="EU2" s="3" t="inlineStr">
        <is>
          <t>CMLS US Equity</t>
        </is>
      </c>
      <c r="FY2" s="3" t="inlineStr">
        <is>
          <t>GHC US Equity</t>
        </is>
      </c>
      <c r="HC2" s="3" t="inlineStr">
        <is>
          <t>496112Q US Equity</t>
        </is>
      </c>
      <c r="IG2" s="3" t="inlineStr">
        <is>
          <t>0964591D US Equity</t>
        </is>
      </c>
      <c r="JK2" s="3" t="inlineStr">
        <is>
          <t>1642488D US Equity</t>
        </is>
      </c>
      <c r="KO2" s="3" t="inlineStr">
        <is>
          <t>2860436Q US Equity</t>
        </is>
      </c>
      <c r="LS2" s="3" t="inlineStr">
        <is>
          <t>EXE US Equity</t>
        </is>
      </c>
      <c r="MW2" s="3" t="inlineStr">
        <is>
          <t>HFWA US Equity</t>
        </is>
      </c>
      <c r="OA2" s="3" t="inlineStr">
        <is>
          <t>RFH US Equity</t>
        </is>
      </c>
      <c r="PE2" s="3" t="inlineStr">
        <is>
          <t>TFC US Equity</t>
        </is>
      </c>
      <c r="QI2" s="3" t="inlineStr">
        <is>
          <t>2993Q US Equity</t>
        </is>
      </c>
      <c r="RM2" s="3" t="inlineStr">
        <is>
          <t>ATBA AV Equity</t>
        </is>
      </c>
      <c r="SQ2" s="3" t="inlineStr">
        <is>
          <t>EWBC US Equity</t>
        </is>
      </c>
      <c r="TU2" s="3" t="inlineStr">
        <is>
          <t>ASNAQ US Equity</t>
        </is>
      </c>
      <c r="UY2" s="3" t="inlineStr">
        <is>
          <t>SXC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BDS("KTOS US Equity","SUPPLY_CHAIN_SUPPLIERS_FULL_DATA")</f>
        <v/>
      </c>
      <c r="O5">
        <f>BDS("KTOS US Equity","SUPPLY_CHAIN_CUSTOMERS_FULL_DATA")</f>
        <v/>
      </c>
      <c r="AE5">
        <f>BDS("ENDPQ US Equity","SUPPLY_CHAIN_SUPPLIERS_FULL_DATA")</f>
        <v/>
      </c>
      <c r="AS5">
        <f>BDS("ENDPQ US Equity","SUPPLY_CHAIN_CUSTOMERS_FULL_DATA")</f>
        <v/>
      </c>
      <c r="BI5">
        <f>BDS("DHI US Equity","SUPPLY_CHAIN_SUPPLIERS_FULL_DATA")</f>
        <v/>
      </c>
      <c r="BW5">
        <f>BDS("DHI US Equity","SUPPLY_CHAIN_CUSTOMERS_FULL_DATA")</f>
        <v/>
      </c>
      <c r="CM5">
        <f>BDS("MO US Equity","SUPPLY_CHAIN_SUPPLIERS_FULL_DATA")</f>
        <v/>
      </c>
      <c r="DA5">
        <f>BDS("MO US Equity","SUPPLY_CHAIN_CUSTOMERS_FULL_DATA")</f>
        <v/>
      </c>
      <c r="DQ5">
        <f>BDS("FFWM US Equity","SUPPLY_CHAIN_SUPPLIERS_FULL_DATA")</f>
        <v/>
      </c>
      <c r="EE5">
        <f>BDS("FFWM US Equity","SUPPLY_CHAIN_CUSTOMERS_FULL_DATA")</f>
        <v/>
      </c>
      <c r="EU5">
        <f>BDS("CMLS US Equity","SUPPLY_CHAIN_SUPPLIERS_FULL_DATA")</f>
        <v/>
      </c>
      <c r="FI5">
        <f>BDS("CMLS US Equity","SUPPLY_CHAIN_CUSTOMERS_FULL_DATA")</f>
        <v/>
      </c>
      <c r="FY5">
        <f>BDS("GHC US Equity","SUPPLY_CHAIN_SUPPLIERS_FULL_DATA")</f>
        <v/>
      </c>
      <c r="GM5">
        <f>BDS("GHC US Equity","SUPPLY_CHAIN_CUSTOMERS_FULL_DATA")</f>
        <v/>
      </c>
      <c r="HC5">
        <f>BDS("496112Q US Equity","SUPPLY_CHAIN_SUPPLIERS_FULL_DATA")</f>
        <v/>
      </c>
      <c r="HQ5">
        <f>BDS("496112Q US Equity","SUPPLY_CHAIN_CUSTOMERS_FULL_DATA")</f>
        <v/>
      </c>
      <c r="IG5">
        <f>BDS("0964591D US Equity","SUPPLY_CHAIN_SUPPLIERS_FULL_DATA")</f>
        <v/>
      </c>
      <c r="IU5">
        <f>BDS("0964591D US Equity","SUPPLY_CHAIN_CUSTOMERS_FULL_DATA")</f>
        <v/>
      </c>
      <c r="JK5">
        <f>BDS("1642488D US Equity","SUPPLY_CHAIN_SUPPLIERS_FULL_DATA")</f>
        <v/>
      </c>
      <c r="JY5">
        <f>BDS("1642488D US Equity","SUPPLY_CHAIN_CUSTOMERS_FULL_DATA")</f>
        <v/>
      </c>
      <c r="KO5">
        <f>BDS("2860436Q US Equity","SUPPLY_CHAIN_SUPPLIERS_FULL_DATA")</f>
        <v/>
      </c>
      <c r="LC5">
        <f>BDS("2860436Q US Equity","SUPPLY_CHAIN_CUSTOMERS_FULL_DATA")</f>
        <v/>
      </c>
      <c r="LS5">
        <f>BDS("EXE US Equity","SUPPLY_CHAIN_SUPPLIERS_FULL_DATA")</f>
        <v/>
      </c>
      <c r="MG5">
        <f>BDS("EXE US Equity","SUPPLY_CHAIN_CUSTOMERS_FULL_DATA")</f>
        <v/>
      </c>
      <c r="MW5">
        <f>BDS("HFWA US Equity","SUPPLY_CHAIN_SUPPLIERS_FULL_DATA")</f>
        <v/>
      </c>
      <c r="NK5">
        <f>BDS("HFWA US Equity","SUPPLY_CHAIN_CUSTOMERS_FULL_DATA")</f>
        <v/>
      </c>
      <c r="OA5">
        <f>BDS("RFH US Equity","SUPPLY_CHAIN_SUPPLIERS_FULL_DATA")</f>
        <v/>
      </c>
      <c r="OO5">
        <f>BDS("RFH US Equity","SUPPLY_CHAIN_CUSTOMERS_FULL_DATA")</f>
        <v/>
      </c>
      <c r="PE5">
        <f>BDS("TFC US Equity","SUPPLY_CHAIN_SUPPLIERS_FULL_DATA")</f>
        <v/>
      </c>
      <c r="PS5">
        <f>BDS("TFC US Equity","SUPPLY_CHAIN_CUSTOMERS_FULL_DATA")</f>
        <v/>
      </c>
      <c r="QI5">
        <f>BDS("2993Q US Equity","SUPPLY_CHAIN_SUPPLIERS_FULL_DATA")</f>
        <v/>
      </c>
      <c r="QW5">
        <f>BDS("2993Q US Equity","SUPPLY_CHAIN_CUSTOMERS_FULL_DATA")</f>
        <v/>
      </c>
      <c r="RM5">
        <f>BDS("ATBA AV Equity","SUPPLY_CHAIN_SUPPLIERS_FULL_DATA")</f>
        <v/>
      </c>
      <c r="SA5">
        <f>BDS("ATBA AV Equity","SUPPLY_CHAIN_CUSTOMERS_FULL_DATA")</f>
        <v/>
      </c>
      <c r="SQ5">
        <f>BDS("EWBC US Equity","SUPPLY_CHAIN_SUPPLIERS_FULL_DATA")</f>
        <v/>
      </c>
      <c r="TE5">
        <f>BDS("EWBC US Equity","SUPPLY_CHAIN_CUSTOMERS_FULL_DATA")</f>
        <v/>
      </c>
      <c r="TU5">
        <f>BDS("ASNAQ US Equity","SUPPLY_CHAIN_SUPPLIERS_FULL_DATA")</f>
        <v/>
      </c>
      <c r="UI5">
        <f>BDS("ASNAQ US Equity","SUPPLY_CHAIN_CUSTOMERS_FULL_DATA")</f>
        <v/>
      </c>
      <c r="UY5">
        <f>BDS("SXC US Equity","SUPPLY_CHAIN_SUPPLIERS_FULL_DATA")</f>
        <v/>
      </c>
      <c r="VM5">
        <f>BDS("SXC US Equity","SUPPLY_CHAIN_CUSTOMERS_FULL_DATA")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2481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2482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2483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2484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2485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2486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2487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2488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2489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2490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2491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2492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2493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2494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2495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2496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2497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2498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2499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2500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AIV US Equity</t>
        </is>
      </c>
      <c r="AE2" s="3" t="inlineStr">
        <is>
          <t>FSCO US Equity</t>
        </is>
      </c>
      <c r="BI2" s="3" t="inlineStr">
        <is>
          <t>2319518D US Equity</t>
        </is>
      </c>
      <c r="CM2" s="3" t="inlineStr">
        <is>
          <t>RVTY US Equity</t>
        </is>
      </c>
      <c r="DQ2" s="3" t="inlineStr">
        <is>
          <t>YDKN US Equity</t>
        </is>
      </c>
      <c r="EU2" s="3" t="inlineStr">
        <is>
          <t>DFODQ US Equity</t>
        </is>
      </c>
      <c r="FY2" s="3" t="inlineStr">
        <is>
          <t>MCO US Equity</t>
        </is>
      </c>
      <c r="HC2" s="3" t="inlineStr">
        <is>
          <t>CDNS US Equity</t>
        </is>
      </c>
      <c r="IG2" s="3" t="inlineStr">
        <is>
          <t>1742858D US Equity</t>
        </is>
      </c>
      <c r="JK2" s="3" t="inlineStr">
        <is>
          <t>STEL US Equity</t>
        </is>
      </c>
      <c r="KO2" s="3" t="inlineStr">
        <is>
          <t>TFC US Equity</t>
        </is>
      </c>
      <c r="LS2" s="3" t="inlineStr">
        <is>
          <t>NEM US Equity</t>
        </is>
      </c>
      <c r="MW2" s="3" t="inlineStr">
        <is>
          <t>9749933D US Equity</t>
        </is>
      </c>
      <c r="OA2" s="3" t="inlineStr">
        <is>
          <t>9994967D US Equity</t>
        </is>
      </c>
      <c r="PE2" s="3" t="inlineStr">
        <is>
          <t>ESGR US Equity</t>
        </is>
      </c>
      <c r="QI2" s="3" t="inlineStr">
        <is>
          <t>1260972D US Equity</t>
        </is>
      </c>
      <c r="RM2" s="3" t="inlineStr">
        <is>
          <t>2326248D US Equity</t>
        </is>
      </c>
      <c r="SQ2" s="3" t="inlineStr">
        <is>
          <t>HPE US Equity</t>
        </is>
      </c>
      <c r="TU2" s="3" t="inlineStr">
        <is>
          <t>2269312Q US Equity</t>
        </is>
      </c>
      <c r="UY2" s="3" t="inlineStr">
        <is>
          <t>AXNT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BDS("AIV US Equity","SUPPLY_CHAIN_SUPPLIERS_FULL_DATA")</f>
        <v/>
      </c>
      <c r="O5">
        <f>BDS("AIV US Equity","SUPPLY_CHAIN_CUSTOMERS_FULL_DATA")</f>
        <v/>
      </c>
      <c r="AE5">
        <f>BDS("FSCO US Equity","SUPPLY_CHAIN_SUPPLIERS_FULL_DATA")</f>
        <v/>
      </c>
      <c r="AS5">
        <f>BDS("FSCO US Equity","SUPPLY_CHAIN_CUSTOMERS_FULL_DATA")</f>
        <v/>
      </c>
      <c r="BI5">
        <f>BDS("2319518D US Equity","SUPPLY_CHAIN_SUPPLIERS_FULL_DATA")</f>
        <v/>
      </c>
      <c r="BW5">
        <f>BDS("2319518D US Equity","SUPPLY_CHAIN_CUSTOMERS_FULL_DATA")</f>
        <v/>
      </c>
      <c r="CM5">
        <f>BDS("RVTY US Equity","SUPPLY_CHAIN_SUPPLIERS_FULL_DATA")</f>
        <v/>
      </c>
      <c r="DA5">
        <f>BDS("RVTY US Equity","SUPPLY_CHAIN_CUSTOMERS_FULL_DATA")</f>
        <v/>
      </c>
      <c r="DQ5">
        <f>BDS("YDKN US Equity","SUPPLY_CHAIN_SUPPLIERS_FULL_DATA")</f>
        <v/>
      </c>
      <c r="EE5">
        <f>BDS("YDKN US Equity","SUPPLY_CHAIN_CUSTOMERS_FULL_DATA")</f>
        <v/>
      </c>
      <c r="EU5">
        <f>BDS("DFODQ US Equity","SUPPLY_CHAIN_SUPPLIERS_FULL_DATA")</f>
        <v/>
      </c>
      <c r="FI5">
        <f>BDS("DFODQ US Equity","SUPPLY_CHAIN_CUSTOMERS_FULL_DATA")</f>
        <v/>
      </c>
      <c r="FY5">
        <f>BDS("MCO US Equity","SUPPLY_CHAIN_SUPPLIERS_FULL_DATA")</f>
        <v/>
      </c>
      <c r="GM5">
        <f>BDS("MCO US Equity","SUPPLY_CHAIN_CUSTOMERS_FULL_DATA")</f>
        <v/>
      </c>
      <c r="HC5">
        <f>BDS("CDNS US Equity","SUPPLY_CHAIN_SUPPLIERS_FULL_DATA")</f>
        <v/>
      </c>
      <c r="HQ5">
        <f>BDS("CDNS US Equity","SUPPLY_CHAIN_CUSTOMERS_FULL_DATA")</f>
        <v/>
      </c>
      <c r="IG5">
        <f>BDS("1742858D US Equity","SUPPLY_CHAIN_SUPPLIERS_FULL_DATA")</f>
        <v/>
      </c>
      <c r="IU5">
        <f>BDS("1742858D US Equity","SUPPLY_CHAIN_CUSTOMERS_FULL_DATA")</f>
        <v/>
      </c>
      <c r="JK5">
        <f>BDS("STEL US Equity","SUPPLY_CHAIN_SUPPLIERS_FULL_DATA")</f>
        <v/>
      </c>
      <c r="JY5">
        <f>BDS("STEL US Equity","SUPPLY_CHAIN_CUSTOMERS_FULL_DATA")</f>
        <v/>
      </c>
      <c r="KO5">
        <f>BDS("TFC US Equity","SUPPLY_CHAIN_SUPPLIERS_FULL_DATA")</f>
        <v/>
      </c>
      <c r="LC5">
        <f>BDS("TFC US Equity","SUPPLY_CHAIN_CUSTOMERS_FULL_DATA")</f>
        <v/>
      </c>
      <c r="LS5">
        <f>BDS("NEM US Equity","SUPPLY_CHAIN_SUPPLIERS_FULL_DATA")</f>
        <v/>
      </c>
      <c r="MG5">
        <f>BDS("NEM US Equity","SUPPLY_CHAIN_CUSTOMERS_FULL_DATA")</f>
        <v/>
      </c>
      <c r="MW5">
        <f>BDS("9749933D US Equity","SUPPLY_CHAIN_SUPPLIERS_FULL_DATA")</f>
        <v/>
      </c>
      <c r="NK5">
        <f>BDS("9749933D US Equity","SUPPLY_CHAIN_CUSTOMERS_FULL_DATA")</f>
        <v/>
      </c>
      <c r="OA5">
        <f>BDS("9994967D US Equity","SUPPLY_CHAIN_SUPPLIERS_FULL_DATA")</f>
        <v/>
      </c>
      <c r="OO5">
        <f>BDS("9994967D US Equity","SUPPLY_CHAIN_CUSTOMERS_FULL_DATA")</f>
        <v/>
      </c>
      <c r="PE5">
        <f>BDS("ESGR US Equity","SUPPLY_CHAIN_SUPPLIERS_FULL_DATA")</f>
        <v/>
      </c>
      <c r="PS5">
        <f>BDS("ESGR US Equity","SUPPLY_CHAIN_CUSTOMERS_FULL_DATA")</f>
        <v/>
      </c>
      <c r="QI5">
        <f>BDS("1260972D US Equity","SUPPLY_CHAIN_SUPPLIERS_FULL_DATA")</f>
        <v/>
      </c>
      <c r="QW5">
        <f>BDS("1260972D US Equity","SUPPLY_CHAIN_CUSTOMERS_FULL_DATA")</f>
        <v/>
      </c>
      <c r="RM5">
        <f>BDS("2326248D US Equity","SUPPLY_CHAIN_SUPPLIERS_FULL_DATA")</f>
        <v/>
      </c>
      <c r="SA5">
        <f>BDS("2326248D US Equity","SUPPLY_CHAIN_CUSTOMERS_FULL_DATA")</f>
        <v/>
      </c>
      <c r="SQ5">
        <f>BDS("HPE US Equity","SUPPLY_CHAIN_SUPPLIERS_FULL_DATA")</f>
        <v/>
      </c>
      <c r="TE5">
        <f>BDS("HPE US Equity","SUPPLY_CHAIN_CUSTOMERS_FULL_DATA")</f>
        <v/>
      </c>
      <c r="TU5">
        <f>BDS("2269312Q US Equity","SUPPLY_CHAIN_SUPPLIERS_FULL_DATA")</f>
        <v/>
      </c>
      <c r="UI5">
        <f>BDS("2269312Q US Equity","SUPPLY_CHAIN_CUSTOMERS_FULL_DATA")</f>
        <v/>
      </c>
      <c r="UY5">
        <f>BDS("AXNT US Equity","SUPPLY_CHAIN_SUPPLIERS_FULL_DATA")</f>
        <v/>
      </c>
      <c r="VM5">
        <f>BDS("AXNT US Equity","SUPPLY_CHAIN_CUSTOMERS_FULL_DATA")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2501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2502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2503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2504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2505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2506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2507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2508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2509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2510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2511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2512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2513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2514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2515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2516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2517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2518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2519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2520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2213185D US Equity</t>
        </is>
      </c>
      <c r="AE2" s="3" t="inlineStr">
        <is>
          <t>3499164Q US Equity</t>
        </is>
      </c>
      <c r="BI2" s="3" t="inlineStr">
        <is>
          <t>MTSI US Equity</t>
        </is>
      </c>
      <c r="CM2" s="3" t="inlineStr">
        <is>
          <t>FPI US Equity</t>
        </is>
      </c>
      <c r="DQ2" s="3" t="inlineStr">
        <is>
          <t>RVTY US Equity</t>
        </is>
      </c>
      <c r="EU2" s="3" t="inlineStr">
        <is>
          <t>TTEC US Equity</t>
        </is>
      </c>
      <c r="FY2" s="3" t="inlineStr">
        <is>
          <t>UCB US Equity</t>
        </is>
      </c>
      <c r="HC2" s="3" t="inlineStr">
        <is>
          <t>RNST US Equity</t>
        </is>
      </c>
      <c r="IG2" s="3" t="inlineStr">
        <is>
          <t>MOLX US Equity</t>
        </is>
      </c>
      <c r="JK2" s="3" t="inlineStr">
        <is>
          <t>TER US Equity</t>
        </is>
      </c>
      <c r="KO2" s="3" t="inlineStr">
        <is>
          <t>244630Q US Equity</t>
        </is>
      </c>
      <c r="LS2" s="3" t="inlineStr">
        <is>
          <t>ELX US Equity</t>
        </is>
      </c>
      <c r="MW2" s="3" t="inlineStr">
        <is>
          <t>CHZ US Equity</t>
        </is>
      </c>
      <c r="OA2" s="3" t="inlineStr">
        <is>
          <t>SKS US Equity</t>
        </is>
      </c>
      <c r="PE2" s="3" t="inlineStr">
        <is>
          <t>1986522D US Equity</t>
        </is>
      </c>
      <c r="QI2" s="3" t="inlineStr">
        <is>
          <t>STFC US Equity</t>
        </is>
      </c>
      <c r="RM2" s="3" t="inlineStr">
        <is>
          <t>NHC US Equity</t>
        </is>
      </c>
      <c r="SQ2" s="3" t="inlineStr">
        <is>
          <t>605018Q US Equity</t>
        </is>
      </c>
      <c r="TU2" s="3" t="inlineStr">
        <is>
          <t>CNOB US Equity</t>
        </is>
      </c>
      <c r="UY2" s="3" t="inlineStr">
        <is>
          <t>PRA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BDS("2213185D US Equity","SUPPLY_CHAIN_SUPPLIERS_FULL_DATA")</f>
        <v/>
      </c>
      <c r="O5">
        <f>BDS("2213185D US Equity","SUPPLY_CHAIN_CUSTOMERS_FULL_DATA")</f>
        <v/>
      </c>
      <c r="AE5">
        <f>BDS("3499164Q US Equity","SUPPLY_CHAIN_SUPPLIERS_FULL_DATA")</f>
        <v/>
      </c>
      <c r="AS5">
        <f>BDS("3499164Q US Equity","SUPPLY_CHAIN_CUSTOMERS_FULL_DATA")</f>
        <v/>
      </c>
      <c r="BI5">
        <f>BDS("MTSI US Equity","SUPPLY_CHAIN_SUPPLIERS_FULL_DATA")</f>
        <v/>
      </c>
      <c r="BW5">
        <f>BDS("MTSI US Equity","SUPPLY_CHAIN_CUSTOMERS_FULL_DATA")</f>
        <v/>
      </c>
      <c r="CM5">
        <f>BDS("FPI US Equity","SUPPLY_CHAIN_SUPPLIERS_FULL_DATA")</f>
        <v/>
      </c>
      <c r="DA5">
        <f>BDS("FPI US Equity","SUPPLY_CHAIN_CUSTOMERS_FULL_DATA")</f>
        <v/>
      </c>
      <c r="DQ5">
        <f>BDS("RVTY US Equity","SUPPLY_CHAIN_SUPPLIERS_FULL_DATA")</f>
        <v/>
      </c>
      <c r="EE5">
        <f>BDS("RVTY US Equity","SUPPLY_CHAIN_CUSTOMERS_FULL_DATA")</f>
        <v/>
      </c>
      <c r="EU5">
        <f>BDS("TTEC US Equity","SUPPLY_CHAIN_SUPPLIERS_FULL_DATA")</f>
        <v/>
      </c>
      <c r="FI5">
        <f>BDS("TTEC US Equity","SUPPLY_CHAIN_CUSTOMERS_FULL_DATA")</f>
        <v/>
      </c>
      <c r="FY5">
        <f>BDS("UCB US Equity","SUPPLY_CHAIN_SUPPLIERS_FULL_DATA")</f>
        <v/>
      </c>
      <c r="GM5">
        <f>BDS("UCB US Equity","SUPPLY_CHAIN_CUSTOMERS_FULL_DATA")</f>
        <v/>
      </c>
      <c r="HC5">
        <f>BDS("RNST US Equity","SUPPLY_CHAIN_SUPPLIERS_FULL_DATA")</f>
        <v/>
      </c>
      <c r="HQ5">
        <f>BDS("RNST US Equity","SUPPLY_CHAIN_CUSTOMERS_FULL_DATA")</f>
        <v/>
      </c>
      <c r="IG5">
        <f>BDS("MOLX US Equity","SUPPLY_CHAIN_SUPPLIERS_FULL_DATA")</f>
        <v/>
      </c>
      <c r="IU5">
        <f>BDS("MOLX US Equity","SUPPLY_CHAIN_CUSTOMERS_FULL_DATA")</f>
        <v/>
      </c>
      <c r="JK5">
        <f>BDS("TER US Equity","SUPPLY_CHAIN_SUPPLIERS_FULL_DATA")</f>
        <v/>
      </c>
      <c r="JY5">
        <f>BDS("TER US Equity","SUPPLY_CHAIN_CUSTOMERS_FULL_DATA")</f>
        <v/>
      </c>
      <c r="KO5">
        <f>BDS("244630Q US Equity","SUPPLY_CHAIN_SUPPLIERS_FULL_DATA")</f>
        <v/>
      </c>
      <c r="LC5">
        <f>BDS("244630Q US Equity","SUPPLY_CHAIN_CUSTOMERS_FULL_DATA")</f>
        <v/>
      </c>
      <c r="LS5">
        <f>BDS("ELX US Equity","SUPPLY_CHAIN_SUPPLIERS_FULL_DATA")</f>
        <v/>
      </c>
      <c r="MG5">
        <f>BDS("ELX US Equity","SUPPLY_CHAIN_CUSTOMERS_FULL_DATA")</f>
        <v/>
      </c>
      <c r="MW5">
        <f>BDS("CHZ US Equity","SUPPLY_CHAIN_SUPPLIERS_FULL_DATA")</f>
        <v/>
      </c>
      <c r="NK5">
        <f>BDS("CHZ US Equity","SUPPLY_CHAIN_CUSTOMERS_FULL_DATA")</f>
        <v/>
      </c>
      <c r="OA5">
        <f>BDS("SKS US Equity","SUPPLY_CHAIN_SUPPLIERS_FULL_DATA")</f>
        <v/>
      </c>
      <c r="OO5">
        <f>BDS("SKS US Equity","SUPPLY_CHAIN_CUSTOMERS_FULL_DATA")</f>
        <v/>
      </c>
      <c r="PE5">
        <f>BDS("1986522D US Equity","SUPPLY_CHAIN_SUPPLIERS_FULL_DATA")</f>
        <v/>
      </c>
      <c r="PS5">
        <f>BDS("1986522D US Equity","SUPPLY_CHAIN_CUSTOMERS_FULL_DATA")</f>
        <v/>
      </c>
      <c r="QI5">
        <f>BDS("STFC US Equity","SUPPLY_CHAIN_SUPPLIERS_FULL_DATA")</f>
        <v/>
      </c>
      <c r="QW5">
        <f>BDS("STFC US Equity","SUPPLY_CHAIN_CUSTOMERS_FULL_DATA")</f>
        <v/>
      </c>
      <c r="RM5">
        <f>BDS("NHC US Equity","SUPPLY_CHAIN_SUPPLIERS_FULL_DATA")</f>
        <v/>
      </c>
      <c r="SA5">
        <f>BDS("NHC US Equity","SUPPLY_CHAIN_CUSTOMERS_FULL_DATA")</f>
        <v/>
      </c>
      <c r="SQ5">
        <f>BDS("605018Q US Equity","SUPPLY_CHAIN_SUPPLIERS_FULL_DATA")</f>
        <v/>
      </c>
      <c r="TE5">
        <f>BDS("605018Q US Equity","SUPPLY_CHAIN_CUSTOMERS_FULL_DATA")</f>
        <v/>
      </c>
      <c r="TU5">
        <f>BDS("CNOB US Equity","SUPPLY_CHAIN_SUPPLIERS_FULL_DATA")</f>
        <v/>
      </c>
      <c r="UI5">
        <f>BDS("CNOB US Equity","SUPPLY_CHAIN_CUSTOMERS_FULL_DATA")</f>
        <v/>
      </c>
      <c r="UY5">
        <f>BDS("PRA US Equity","SUPPLY_CHAIN_SUPPLIERS_FULL_DATA")</f>
        <v/>
      </c>
      <c r="VM5">
        <f>BDS("PRA US Equity","SUPPLY_CHAIN_CUSTOMERS_FULL_DATA")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2521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2522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2523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2524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2525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2526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2527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2528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2529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2530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2531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2532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2533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2534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2535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2536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2537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2538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2539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2540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CTITQ US Equity</t>
        </is>
      </c>
      <c r="AE2" s="3" t="inlineStr">
        <is>
          <t>PB US Equity</t>
        </is>
      </c>
      <c r="BI2" s="3" t="inlineStr">
        <is>
          <t>VIAS US Equity</t>
        </is>
      </c>
      <c r="CM2" s="3" t="inlineStr">
        <is>
          <t>LFGRQ US Equity</t>
        </is>
      </c>
      <c r="DQ2" s="3" t="inlineStr">
        <is>
          <t>NIC US Equity</t>
        </is>
      </c>
      <c r="EU2" s="3" t="inlineStr">
        <is>
          <t>CFR US Equity</t>
        </is>
      </c>
      <c r="FY2" s="3" t="inlineStr">
        <is>
          <t>GE US Equity</t>
        </is>
      </c>
      <c r="HC2" s="3" t="inlineStr">
        <is>
          <t>IBM US Equity</t>
        </is>
      </c>
      <c r="IG2" s="3" t="inlineStr">
        <is>
          <t>345605Q US Equity</t>
        </is>
      </c>
      <c r="JK2" s="3" t="inlineStr">
        <is>
          <t>UVSP US Equity</t>
        </is>
      </c>
      <c r="KO2" s="3" t="inlineStr">
        <is>
          <t>A US Equity</t>
        </is>
      </c>
      <c r="LS2" s="3" t="inlineStr">
        <is>
          <t>KR US Equity</t>
        </is>
      </c>
      <c r="MW2" s="3" t="inlineStr">
        <is>
          <t>9980328D US Equity</t>
        </is>
      </c>
      <c r="OA2" s="3" t="inlineStr">
        <is>
          <t>FITB US Equity</t>
        </is>
      </c>
      <c r="PE2" s="3" t="inlineStr">
        <is>
          <t>TDY US Equity</t>
        </is>
      </c>
      <c r="QI2" s="3" t="inlineStr">
        <is>
          <t>RIG US Equity</t>
        </is>
      </c>
      <c r="RM2" s="3" t="inlineStr">
        <is>
          <t>SAH US Equity</t>
        </is>
      </c>
      <c r="SQ2" s="3" t="inlineStr">
        <is>
          <t>SF US Equity</t>
        </is>
      </c>
      <c r="TU2" s="3" t="inlineStr">
        <is>
          <t>SOCNQ US Equity</t>
        </is>
      </c>
      <c r="UY2" s="3" t="inlineStr">
        <is>
          <t>201998Q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BDS("CTITQ US Equity","SUPPLY_CHAIN_SUPPLIERS_FULL_DATA")</f>
        <v/>
      </c>
      <c r="O5">
        <f>BDS("CTITQ US Equity","SUPPLY_CHAIN_CUSTOMERS_FULL_DATA")</f>
        <v/>
      </c>
      <c r="AE5">
        <f>BDS("PB US Equity","SUPPLY_CHAIN_SUPPLIERS_FULL_DATA")</f>
        <v/>
      </c>
      <c r="AS5">
        <f>BDS("PB US Equity","SUPPLY_CHAIN_CUSTOMERS_FULL_DATA")</f>
        <v/>
      </c>
      <c r="BI5">
        <f>BDS("VIAS US Equity","SUPPLY_CHAIN_SUPPLIERS_FULL_DATA")</f>
        <v/>
      </c>
      <c r="BW5">
        <f>BDS("VIAS US Equity","SUPPLY_CHAIN_CUSTOMERS_FULL_DATA")</f>
        <v/>
      </c>
      <c r="CM5">
        <f>BDS("LFGRQ US Equity","SUPPLY_CHAIN_SUPPLIERS_FULL_DATA")</f>
        <v/>
      </c>
      <c r="DA5">
        <f>BDS("LFGRQ US Equity","SUPPLY_CHAIN_CUSTOMERS_FULL_DATA")</f>
        <v/>
      </c>
      <c r="DQ5">
        <f>BDS("NIC US Equity","SUPPLY_CHAIN_SUPPLIERS_FULL_DATA")</f>
        <v/>
      </c>
      <c r="EE5">
        <f>BDS("NIC US Equity","SUPPLY_CHAIN_CUSTOMERS_FULL_DATA")</f>
        <v/>
      </c>
      <c r="EU5">
        <f>BDS("CFR US Equity","SUPPLY_CHAIN_SUPPLIERS_FULL_DATA")</f>
        <v/>
      </c>
      <c r="FI5">
        <f>BDS("CFR US Equity","SUPPLY_CHAIN_CUSTOMERS_FULL_DATA")</f>
        <v/>
      </c>
      <c r="FY5">
        <f>BDS("GE US Equity","SUPPLY_CHAIN_SUPPLIERS_FULL_DATA")</f>
        <v/>
      </c>
      <c r="GM5">
        <f>BDS("GE US Equity","SUPPLY_CHAIN_CUSTOMERS_FULL_DATA")</f>
        <v/>
      </c>
      <c r="HC5">
        <f>BDS("IBM US Equity","SUPPLY_CHAIN_SUPPLIERS_FULL_DATA")</f>
        <v/>
      </c>
      <c r="HQ5">
        <f>BDS("IBM US Equity","SUPPLY_CHAIN_CUSTOMERS_FULL_DATA")</f>
        <v/>
      </c>
      <c r="IG5">
        <f>BDS("345605Q US Equity","SUPPLY_CHAIN_SUPPLIERS_FULL_DATA")</f>
        <v/>
      </c>
      <c r="IU5">
        <f>BDS("345605Q US Equity","SUPPLY_CHAIN_CUSTOMERS_FULL_DATA")</f>
        <v/>
      </c>
      <c r="JK5">
        <f>BDS("UVSP US Equity","SUPPLY_CHAIN_SUPPLIERS_FULL_DATA")</f>
        <v/>
      </c>
      <c r="JY5">
        <f>BDS("UVSP US Equity","SUPPLY_CHAIN_CUSTOMERS_FULL_DATA")</f>
        <v/>
      </c>
      <c r="KO5">
        <f>BDS("A US Equity","SUPPLY_CHAIN_SUPPLIERS_FULL_DATA")</f>
        <v/>
      </c>
      <c r="LC5">
        <f>BDS("A US Equity","SUPPLY_CHAIN_CUSTOMERS_FULL_DATA")</f>
        <v/>
      </c>
      <c r="LS5">
        <f>BDS("KR US Equity","SUPPLY_CHAIN_SUPPLIERS_FULL_DATA")</f>
        <v/>
      </c>
      <c r="MG5">
        <f>BDS("KR US Equity","SUPPLY_CHAIN_CUSTOMERS_FULL_DATA")</f>
        <v/>
      </c>
      <c r="MW5">
        <f>BDS("9980328D US Equity","SUPPLY_CHAIN_SUPPLIERS_FULL_DATA")</f>
        <v/>
      </c>
      <c r="NK5">
        <f>BDS("9980328D US Equity","SUPPLY_CHAIN_CUSTOMERS_FULL_DATA")</f>
        <v/>
      </c>
      <c r="OA5">
        <f>BDS("FITB US Equity","SUPPLY_CHAIN_SUPPLIERS_FULL_DATA")</f>
        <v/>
      </c>
      <c r="OO5">
        <f>BDS("FITB US Equity","SUPPLY_CHAIN_CUSTOMERS_FULL_DATA")</f>
        <v/>
      </c>
      <c r="PE5">
        <f>BDS("TDY US Equity","SUPPLY_CHAIN_SUPPLIERS_FULL_DATA")</f>
        <v/>
      </c>
      <c r="PS5">
        <f>BDS("TDY US Equity","SUPPLY_CHAIN_CUSTOMERS_FULL_DATA")</f>
        <v/>
      </c>
      <c r="QI5">
        <f>BDS("RIG US Equity","SUPPLY_CHAIN_SUPPLIERS_FULL_DATA")</f>
        <v/>
      </c>
      <c r="QW5">
        <f>BDS("RIG US Equity","SUPPLY_CHAIN_CUSTOMERS_FULL_DATA")</f>
        <v/>
      </c>
      <c r="RM5">
        <f>BDS("SAH US Equity","SUPPLY_CHAIN_SUPPLIERS_FULL_DATA")</f>
        <v/>
      </c>
      <c r="SA5">
        <f>BDS("SAH US Equity","SUPPLY_CHAIN_CUSTOMERS_FULL_DATA")</f>
        <v/>
      </c>
      <c r="SQ5">
        <f>BDS("SF US Equity","SUPPLY_CHAIN_SUPPLIERS_FULL_DATA")</f>
        <v/>
      </c>
      <c r="TE5">
        <f>BDS("SF US Equity","SUPPLY_CHAIN_CUSTOMERS_FULL_DATA")</f>
        <v/>
      </c>
      <c r="TU5">
        <f>BDS("SOCNQ US Equity","SUPPLY_CHAIN_SUPPLIERS_FULL_DATA")</f>
        <v/>
      </c>
      <c r="UI5">
        <f>BDS("SOCNQ US Equity","SUPPLY_CHAIN_CUSTOMERS_FULL_DATA")</f>
        <v/>
      </c>
      <c r="UY5">
        <f>BDS("201998Q US Equity","SUPPLY_CHAIN_SUPPLIERS_FULL_DATA")</f>
        <v/>
      </c>
      <c r="VM5">
        <f>BDS("201998Q US Equity","SUPPLY_CHAIN_CUSTOMERS_FULL_DATA")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2541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2542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2543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2544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2545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2546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2547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2548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2549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2550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2551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2552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2553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2554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2555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2556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2557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2558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2559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2560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RCNI US Equity</t>
        </is>
      </c>
      <c r="AE2" s="3" t="inlineStr">
        <is>
          <t>GD US Equity</t>
        </is>
      </c>
      <c r="BI2" s="3" t="inlineStr">
        <is>
          <t>ORI US Equity</t>
        </is>
      </c>
      <c r="CM2" s="3" t="inlineStr">
        <is>
          <t>OK US Equity</t>
        </is>
      </c>
      <c r="DQ2" s="3" t="inlineStr">
        <is>
          <t>GD US Equity</t>
        </is>
      </c>
      <c r="EU2" s="3" t="inlineStr">
        <is>
          <t>UMPQ US Equity</t>
        </is>
      </c>
      <c r="FY2" s="3" t="inlineStr">
        <is>
          <t>PLCM US Equity</t>
        </is>
      </c>
      <c r="HC2" s="3" t="inlineStr">
        <is>
          <t>TSLA US Equity</t>
        </is>
      </c>
      <c r="IG2" s="3" t="inlineStr">
        <is>
          <t>WCG US Equity</t>
        </is>
      </c>
      <c r="JK2" s="3" t="inlineStr">
        <is>
          <t>INAPQ US Equity</t>
        </is>
      </c>
      <c r="KO2" s="3" t="inlineStr">
        <is>
          <t>ISLE US Equity</t>
        </is>
      </c>
      <c r="LS2" s="3" t="inlineStr">
        <is>
          <t>VSH US Equity</t>
        </is>
      </c>
      <c r="MW2" s="3" t="inlineStr">
        <is>
          <t>FULT US Equity</t>
        </is>
      </c>
      <c r="OA2" s="3" t="inlineStr">
        <is>
          <t>nan Equity</t>
        </is>
      </c>
      <c r="PE2" s="3" t="inlineStr">
        <is>
          <t>SLB US Equity</t>
        </is>
      </c>
      <c r="QI2" s="3" t="inlineStr">
        <is>
          <t>RC US Equity</t>
        </is>
      </c>
      <c r="RM2" s="3" t="inlineStr">
        <is>
          <t>RLR US Equity</t>
        </is>
      </c>
      <c r="SQ2" s="3" t="inlineStr">
        <is>
          <t>PRDO US Equity</t>
        </is>
      </c>
      <c r="TU2" s="3" t="inlineStr">
        <is>
          <t>AVX US Equity</t>
        </is>
      </c>
      <c r="UY2" s="3" t="inlineStr">
        <is>
          <t>BCR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BDS("RCNI US Equity","SUPPLY_CHAIN_SUPPLIERS_FULL_DATA")</f>
        <v/>
      </c>
      <c r="O5">
        <f>BDS("RCNI US Equity","SUPPLY_CHAIN_CUSTOMERS_FULL_DATA")</f>
        <v/>
      </c>
      <c r="AE5">
        <f>BDS("GD US Equity","SUPPLY_CHAIN_SUPPLIERS_FULL_DATA")</f>
        <v/>
      </c>
      <c r="AS5">
        <f>BDS("GD US Equity","SUPPLY_CHAIN_CUSTOMERS_FULL_DATA")</f>
        <v/>
      </c>
      <c r="BI5">
        <f>BDS("ORI US Equity","SUPPLY_CHAIN_SUPPLIERS_FULL_DATA")</f>
        <v/>
      </c>
      <c r="BW5">
        <f>BDS("ORI US Equity","SUPPLY_CHAIN_CUSTOMERS_FULL_DATA")</f>
        <v/>
      </c>
      <c r="CM5">
        <f>BDS("OK US Equity","SUPPLY_CHAIN_SUPPLIERS_FULL_DATA")</f>
        <v/>
      </c>
      <c r="DA5">
        <f>BDS("OK US Equity","SUPPLY_CHAIN_CUSTOMERS_FULL_DATA")</f>
        <v/>
      </c>
      <c r="DQ5">
        <f>BDS("GD US Equity","SUPPLY_CHAIN_SUPPLIERS_FULL_DATA")</f>
        <v/>
      </c>
      <c r="EE5">
        <f>BDS("GD US Equity","SUPPLY_CHAIN_CUSTOMERS_FULL_DATA")</f>
        <v/>
      </c>
      <c r="EU5">
        <f>BDS("UMPQ US Equity","SUPPLY_CHAIN_SUPPLIERS_FULL_DATA")</f>
        <v/>
      </c>
      <c r="FI5">
        <f>BDS("UMPQ US Equity","SUPPLY_CHAIN_CUSTOMERS_FULL_DATA")</f>
        <v/>
      </c>
      <c r="FY5">
        <f>BDS("PLCM US Equity","SUPPLY_CHAIN_SUPPLIERS_FULL_DATA")</f>
        <v/>
      </c>
      <c r="GM5">
        <f>BDS("PLCM US Equity","SUPPLY_CHAIN_CUSTOMERS_FULL_DATA")</f>
        <v/>
      </c>
      <c r="HC5">
        <f>BDS("TSLA US Equity","SUPPLY_CHAIN_SUPPLIERS_FULL_DATA")</f>
        <v/>
      </c>
      <c r="HQ5">
        <f>BDS("TSLA US Equity","SUPPLY_CHAIN_CUSTOMERS_FULL_DATA")</f>
        <v/>
      </c>
      <c r="IG5">
        <f>BDS("WCG US Equity","SUPPLY_CHAIN_SUPPLIERS_FULL_DATA")</f>
        <v/>
      </c>
      <c r="IU5">
        <f>BDS("WCG US Equity","SUPPLY_CHAIN_CUSTOMERS_FULL_DATA")</f>
        <v/>
      </c>
      <c r="JK5">
        <f>BDS("INAPQ US Equity","SUPPLY_CHAIN_SUPPLIERS_FULL_DATA")</f>
        <v/>
      </c>
      <c r="JY5">
        <f>BDS("INAPQ US Equity","SUPPLY_CHAIN_CUSTOMERS_FULL_DATA")</f>
        <v/>
      </c>
      <c r="KO5">
        <f>BDS("ISLE US Equity","SUPPLY_CHAIN_SUPPLIERS_FULL_DATA")</f>
        <v/>
      </c>
      <c r="LC5">
        <f>BDS("ISLE US Equity","SUPPLY_CHAIN_CUSTOMERS_FULL_DATA")</f>
        <v/>
      </c>
      <c r="LS5">
        <f>BDS("VSH US Equity","SUPPLY_CHAIN_SUPPLIERS_FULL_DATA")</f>
        <v/>
      </c>
      <c r="MG5">
        <f>BDS("VSH US Equity","SUPPLY_CHAIN_CUSTOMERS_FULL_DATA")</f>
        <v/>
      </c>
      <c r="MW5">
        <f>BDS("FULT US Equity","SUPPLY_CHAIN_SUPPLIERS_FULL_DATA")</f>
        <v/>
      </c>
      <c r="NK5">
        <f>BDS("FULT US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BDS("SLB US Equity","SUPPLY_CHAIN_SUPPLIERS_FULL_DATA")</f>
        <v/>
      </c>
      <c r="PS5">
        <f>BDS("SLB US Equity","SUPPLY_CHAIN_CUSTOMERS_FULL_DATA")</f>
        <v/>
      </c>
      <c r="QI5">
        <f>BDS("RC US Equity","SUPPLY_CHAIN_SUPPLIERS_FULL_DATA")</f>
        <v/>
      </c>
      <c r="QW5">
        <f>BDS("RC US Equity","SUPPLY_CHAIN_CUSTOMERS_FULL_DATA")</f>
        <v/>
      </c>
      <c r="RM5">
        <f>BDS("RLR US Equity","SUPPLY_CHAIN_SUPPLIERS_FULL_DATA")</f>
        <v/>
      </c>
      <c r="SA5">
        <f>BDS("RLR US Equity","SUPPLY_CHAIN_CUSTOMERS_FULL_DATA")</f>
        <v/>
      </c>
      <c r="SQ5">
        <f>BDS("PRDO US Equity","SUPPLY_CHAIN_SUPPLIERS_FULL_DATA")</f>
        <v/>
      </c>
      <c r="TE5">
        <f>BDS("PRDO US Equity","SUPPLY_CHAIN_CUSTOMERS_FULL_DATA")</f>
        <v/>
      </c>
      <c r="TU5">
        <f>BDS("AVX US Equity","SUPPLY_CHAIN_SUPPLIERS_FULL_DATA")</f>
        <v/>
      </c>
      <c r="UI5">
        <f>BDS("AVX US Equity","SUPPLY_CHAIN_CUSTOMERS_FULL_DATA")</f>
        <v/>
      </c>
      <c r="UY5">
        <f>BDS("BCR US Equity","SUPPLY_CHAIN_SUPPLIERS_FULL_DATA")</f>
        <v/>
      </c>
      <c r="VM5">
        <f>BDS("BCR US Equity","SUPPLY_CHAIN_CUSTOMERS_FULL_DATA")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2561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2562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2563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2564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2565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2566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2567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2568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2569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2570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2571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2572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2573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2574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2575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2576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2577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2578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2579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2580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ATBA AV Equity</t>
        </is>
      </c>
      <c r="AE2" s="3" t="inlineStr">
        <is>
          <t>MDT US Equity</t>
        </is>
      </c>
      <c r="BI2" s="3" t="inlineStr">
        <is>
          <t>MSCC US Equity</t>
        </is>
      </c>
      <c r="CM2" s="3" t="inlineStr">
        <is>
          <t>OCR US Equity</t>
        </is>
      </c>
      <c r="DQ2" s="3" t="inlineStr">
        <is>
          <t>ENDPQ US Equity</t>
        </is>
      </c>
      <c r="EU2" s="3" t="inlineStr">
        <is>
          <t>1280712D US Equity</t>
        </is>
      </c>
      <c r="FY2" s="3" t="inlineStr">
        <is>
          <t>FNFG US Equity</t>
        </is>
      </c>
      <c r="HC2" s="3" t="inlineStr">
        <is>
          <t>JNY US Equity</t>
        </is>
      </c>
      <c r="IG2" s="3" t="inlineStr">
        <is>
          <t>BAX US Equity</t>
        </is>
      </c>
      <c r="JK2" s="3" t="inlineStr">
        <is>
          <t>MDCC US Equity</t>
        </is>
      </c>
      <c r="KO2" s="3" t="inlineStr">
        <is>
          <t>QTRN US Equity</t>
        </is>
      </c>
      <c r="LS2" s="3" t="inlineStr">
        <is>
          <t>PB US Equity</t>
        </is>
      </c>
      <c r="MW2" s="3" t="inlineStr">
        <is>
          <t>ILA US Equity</t>
        </is>
      </c>
      <c r="OA2" s="3" t="inlineStr">
        <is>
          <t>2983744Q US Equity</t>
        </is>
      </c>
      <c r="PE2" s="3" t="inlineStr">
        <is>
          <t>JAH US Equity</t>
        </is>
      </c>
      <c r="QI2" s="3" t="inlineStr">
        <is>
          <t>MHK US Equity</t>
        </is>
      </c>
      <c r="RM2" s="3" t="inlineStr">
        <is>
          <t>HIB US Equity</t>
        </is>
      </c>
      <c r="SQ2" s="3" t="inlineStr">
        <is>
          <t>FRME US Equity</t>
        </is>
      </c>
      <c r="TU2" s="3" t="inlineStr">
        <is>
          <t>WFC US Equity</t>
        </is>
      </c>
      <c r="UY2" s="3" t="inlineStr">
        <is>
          <t>BRKL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BDS("ATBA AV Equity","SUPPLY_CHAIN_SUPPLIERS_FULL_DATA")</f>
        <v/>
      </c>
      <c r="O5">
        <f>BDS("ATBA AV Equity","SUPPLY_CHAIN_CUSTOMERS_FULL_DATA")</f>
        <v/>
      </c>
      <c r="AE5">
        <f>BDS("MDT US Equity","SUPPLY_CHAIN_SUPPLIERS_FULL_DATA")</f>
        <v/>
      </c>
      <c r="AS5">
        <f>BDS("MDT US Equity","SUPPLY_CHAIN_CUSTOMERS_FULL_DATA")</f>
        <v/>
      </c>
      <c r="BI5">
        <f>BDS("MSCC US Equity","SUPPLY_CHAIN_SUPPLIERS_FULL_DATA")</f>
        <v/>
      </c>
      <c r="BW5">
        <f>BDS("MSCC US Equity","SUPPLY_CHAIN_CUSTOMERS_FULL_DATA")</f>
        <v/>
      </c>
      <c r="CM5">
        <f>BDS("OCR US Equity","SUPPLY_CHAIN_SUPPLIERS_FULL_DATA")</f>
        <v/>
      </c>
      <c r="DA5">
        <f>BDS("OCR US Equity","SUPPLY_CHAIN_CUSTOMERS_FULL_DATA")</f>
        <v/>
      </c>
      <c r="DQ5">
        <f>BDS("ENDPQ US Equity","SUPPLY_CHAIN_SUPPLIERS_FULL_DATA")</f>
        <v/>
      </c>
      <c r="EE5">
        <f>BDS("ENDPQ US Equity","SUPPLY_CHAIN_CUSTOMERS_FULL_DATA")</f>
        <v/>
      </c>
      <c r="EU5">
        <f>BDS("1280712D US Equity","SUPPLY_CHAIN_SUPPLIERS_FULL_DATA")</f>
        <v/>
      </c>
      <c r="FI5">
        <f>BDS("1280712D US Equity","SUPPLY_CHAIN_CUSTOMERS_FULL_DATA")</f>
        <v/>
      </c>
      <c r="FY5">
        <f>BDS("FNFG US Equity","SUPPLY_CHAIN_SUPPLIERS_FULL_DATA")</f>
        <v/>
      </c>
      <c r="GM5">
        <f>BDS("FNFG US Equity","SUPPLY_CHAIN_CUSTOMERS_FULL_DATA")</f>
        <v/>
      </c>
      <c r="HC5">
        <f>BDS("JNY US Equity","SUPPLY_CHAIN_SUPPLIERS_FULL_DATA")</f>
        <v/>
      </c>
      <c r="HQ5">
        <f>BDS("JNY US Equity","SUPPLY_CHAIN_CUSTOMERS_FULL_DATA")</f>
        <v/>
      </c>
      <c r="IG5">
        <f>BDS("BAX US Equity","SUPPLY_CHAIN_SUPPLIERS_FULL_DATA")</f>
        <v/>
      </c>
      <c r="IU5">
        <f>BDS("BAX US Equity","SUPPLY_CHAIN_CUSTOMERS_FULL_DATA")</f>
        <v/>
      </c>
      <c r="JK5">
        <f>BDS("MDCC US Equity","SUPPLY_CHAIN_SUPPLIERS_FULL_DATA")</f>
        <v/>
      </c>
      <c r="JY5">
        <f>BDS("MDCC US Equity","SUPPLY_CHAIN_CUSTOMERS_FULL_DATA")</f>
        <v/>
      </c>
      <c r="KO5">
        <f>BDS("QTRN US Equity","SUPPLY_CHAIN_SUPPLIERS_FULL_DATA")</f>
        <v/>
      </c>
      <c r="LC5">
        <f>BDS("QTRN US Equity","SUPPLY_CHAIN_CUSTOMERS_FULL_DATA")</f>
        <v/>
      </c>
      <c r="LS5">
        <f>BDS("PB US Equity","SUPPLY_CHAIN_SUPPLIERS_FULL_DATA")</f>
        <v/>
      </c>
      <c r="MG5">
        <f>BDS("PB US Equity","SUPPLY_CHAIN_CUSTOMERS_FULL_DATA")</f>
        <v/>
      </c>
      <c r="MW5">
        <f>BDS("ILA US Equity","SUPPLY_CHAIN_SUPPLIERS_FULL_DATA")</f>
        <v/>
      </c>
      <c r="NK5">
        <f>BDS("ILA US Equity","SUPPLY_CHAIN_CUSTOMERS_FULL_DATA")</f>
        <v/>
      </c>
      <c r="OA5">
        <f>BDS("2983744Q US Equity","SUPPLY_CHAIN_SUPPLIERS_FULL_DATA")</f>
        <v/>
      </c>
      <c r="OO5">
        <f>BDS("2983744Q US Equity","SUPPLY_CHAIN_CUSTOMERS_FULL_DATA")</f>
        <v/>
      </c>
      <c r="PE5">
        <f>BDS("JAH US Equity","SUPPLY_CHAIN_SUPPLIERS_FULL_DATA")</f>
        <v/>
      </c>
      <c r="PS5">
        <f>BDS("JAH US Equity","SUPPLY_CHAIN_CUSTOMERS_FULL_DATA")</f>
        <v/>
      </c>
      <c r="QI5">
        <f>BDS("MHK US Equity","SUPPLY_CHAIN_SUPPLIERS_FULL_DATA")</f>
        <v/>
      </c>
      <c r="QW5">
        <f>BDS("MHK US Equity","SUPPLY_CHAIN_CUSTOMERS_FULL_DATA")</f>
        <v/>
      </c>
      <c r="RM5">
        <f>BDS("HIB US Equity","SUPPLY_CHAIN_SUPPLIERS_FULL_DATA")</f>
        <v/>
      </c>
      <c r="SA5">
        <f>BDS("HIB US Equity","SUPPLY_CHAIN_CUSTOMERS_FULL_DATA")</f>
        <v/>
      </c>
      <c r="SQ5">
        <f>BDS("FRME US Equity","SUPPLY_CHAIN_SUPPLIERS_FULL_DATA")</f>
        <v/>
      </c>
      <c r="TE5">
        <f>BDS("FRME US Equity","SUPPLY_CHAIN_CUSTOMERS_FULL_DATA")</f>
        <v/>
      </c>
      <c r="TU5">
        <f>BDS("WFC US Equity","SUPPLY_CHAIN_SUPPLIERS_FULL_DATA")</f>
        <v/>
      </c>
      <c r="UI5">
        <f>BDS("WFC US Equity","SUPPLY_CHAIN_CUSTOMERS_FULL_DATA")</f>
        <v/>
      </c>
      <c r="UY5">
        <f>BDS("BRKL US Equity","SUPPLY_CHAIN_SUPPLIERS_FULL_DATA")</f>
        <v/>
      </c>
      <c r="VM5">
        <f>BDS("BRKL US Equity","SUPPLY_CHAIN_CUSTOMERS_FULL_DATA")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2581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2582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2583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2584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2585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2586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2587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2588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2589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2590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2591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2592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2593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2594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2595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2596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2597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2598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2599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2600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AMZN US Equity</t>
        </is>
      </c>
      <c r="AE2" s="3" t="inlineStr">
        <is>
          <t>NBTB US Equity</t>
        </is>
      </c>
      <c r="BI2" s="3" t="inlineStr">
        <is>
          <t>ANCX US Equity</t>
        </is>
      </c>
      <c r="CM2" s="3" t="inlineStr">
        <is>
          <t>PLCM US Equity</t>
        </is>
      </c>
      <c r="DQ2" s="3" t="inlineStr">
        <is>
          <t>PRA US Equity</t>
        </is>
      </c>
      <c r="EU2" s="3" t="inlineStr">
        <is>
          <t>CSFL US Equity</t>
        </is>
      </c>
      <c r="FY2" s="3" t="inlineStr">
        <is>
          <t>BUSE US Equity</t>
        </is>
      </c>
      <c r="HC2" s="3" t="inlineStr">
        <is>
          <t>9876544D US Equity</t>
        </is>
      </c>
      <c r="IG2" s="3" t="inlineStr">
        <is>
          <t>VSAT US Equity</t>
        </is>
      </c>
      <c r="JK2" s="3" t="inlineStr">
        <is>
          <t>FLIR US Equity</t>
        </is>
      </c>
      <c r="KO2" s="3" t="inlineStr">
        <is>
          <t>0772031D US Equity</t>
        </is>
      </c>
      <c r="LS2" s="3" t="inlineStr">
        <is>
          <t>OK US Equity</t>
        </is>
      </c>
      <c r="MW2" s="3" t="inlineStr">
        <is>
          <t>SSP US Equity</t>
        </is>
      </c>
      <c r="OA2" s="3" t="inlineStr">
        <is>
          <t>CBCGQ US Equity</t>
        </is>
      </c>
      <c r="PE2" s="3" t="inlineStr">
        <is>
          <t>NBR US Equity</t>
        </is>
      </c>
      <c r="QI2" s="3" t="inlineStr">
        <is>
          <t>TDS US Equity</t>
        </is>
      </c>
      <c r="RM2" s="3" t="inlineStr">
        <is>
          <t>JDAS US Equity</t>
        </is>
      </c>
      <c r="SQ2" s="3" t="inlineStr">
        <is>
          <t>SNEX US Equity</t>
        </is>
      </c>
      <c r="TU2" s="3" t="inlineStr">
        <is>
          <t>TFC US Equity</t>
        </is>
      </c>
      <c r="UY2" s="3" t="inlineStr">
        <is>
          <t>MCHP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BDS("AMZN US Equity","SUPPLY_CHAIN_SUPPLIERS_FULL_DATA")</f>
        <v/>
      </c>
      <c r="O5">
        <f>BDS("AMZN US Equity","SUPPLY_CHAIN_CUSTOMERS_FULL_DATA")</f>
        <v/>
      </c>
      <c r="AE5">
        <f>BDS("NBTB US Equity","SUPPLY_CHAIN_SUPPLIERS_FULL_DATA")</f>
        <v/>
      </c>
      <c r="AS5">
        <f>BDS("NBTB US Equity","SUPPLY_CHAIN_CUSTOMERS_FULL_DATA")</f>
        <v/>
      </c>
      <c r="BI5">
        <f>BDS("ANCX US Equity","SUPPLY_CHAIN_SUPPLIERS_FULL_DATA")</f>
        <v/>
      </c>
      <c r="BW5">
        <f>BDS("ANCX US Equity","SUPPLY_CHAIN_CUSTOMERS_FULL_DATA")</f>
        <v/>
      </c>
      <c r="CM5">
        <f>BDS("PLCM US Equity","SUPPLY_CHAIN_SUPPLIERS_FULL_DATA")</f>
        <v/>
      </c>
      <c r="DA5">
        <f>BDS("PLCM US Equity","SUPPLY_CHAIN_CUSTOMERS_FULL_DATA")</f>
        <v/>
      </c>
      <c r="DQ5">
        <f>BDS("PRA US Equity","SUPPLY_CHAIN_SUPPLIERS_FULL_DATA")</f>
        <v/>
      </c>
      <c r="EE5">
        <f>BDS("PRA US Equity","SUPPLY_CHAIN_CUSTOMERS_FULL_DATA")</f>
        <v/>
      </c>
      <c r="EU5">
        <f>BDS("CSFL US Equity","SUPPLY_CHAIN_SUPPLIERS_FULL_DATA")</f>
        <v/>
      </c>
      <c r="FI5">
        <f>BDS("CSFL US Equity","SUPPLY_CHAIN_CUSTOMERS_FULL_DATA")</f>
        <v/>
      </c>
      <c r="FY5">
        <f>BDS("BUSE US Equity","SUPPLY_CHAIN_SUPPLIERS_FULL_DATA")</f>
        <v/>
      </c>
      <c r="GM5">
        <f>BDS("BUSE US Equity","SUPPLY_CHAIN_CUSTOMERS_FULL_DATA")</f>
        <v/>
      </c>
      <c r="HC5">
        <f>BDS("9876544D US Equity","SUPPLY_CHAIN_SUPPLIERS_FULL_DATA")</f>
        <v/>
      </c>
      <c r="HQ5">
        <f>BDS("9876544D US Equity","SUPPLY_CHAIN_CUSTOMERS_FULL_DATA")</f>
        <v/>
      </c>
      <c r="IG5">
        <f>BDS("VSAT US Equity","SUPPLY_CHAIN_SUPPLIERS_FULL_DATA")</f>
        <v/>
      </c>
      <c r="IU5">
        <f>BDS("VSAT US Equity","SUPPLY_CHAIN_CUSTOMERS_FULL_DATA")</f>
        <v/>
      </c>
      <c r="JK5">
        <f>BDS("FLIR US Equity","SUPPLY_CHAIN_SUPPLIERS_FULL_DATA")</f>
        <v/>
      </c>
      <c r="JY5">
        <f>BDS("FLIR US Equity","SUPPLY_CHAIN_CUSTOMERS_FULL_DATA")</f>
        <v/>
      </c>
      <c r="KO5">
        <f>BDS("0772031D US Equity","SUPPLY_CHAIN_SUPPLIERS_FULL_DATA")</f>
        <v/>
      </c>
      <c r="LC5">
        <f>BDS("0772031D US Equity","SUPPLY_CHAIN_CUSTOMERS_FULL_DATA")</f>
        <v/>
      </c>
      <c r="LS5">
        <f>BDS("OK US Equity","SUPPLY_CHAIN_SUPPLIERS_FULL_DATA")</f>
        <v/>
      </c>
      <c r="MG5">
        <f>BDS("OK US Equity","SUPPLY_CHAIN_CUSTOMERS_FULL_DATA")</f>
        <v/>
      </c>
      <c r="MW5">
        <f>BDS("SSP US Equity","SUPPLY_CHAIN_SUPPLIERS_FULL_DATA")</f>
        <v/>
      </c>
      <c r="NK5">
        <f>BDS("SSP US Equity","SUPPLY_CHAIN_CUSTOMERS_FULL_DATA")</f>
        <v/>
      </c>
      <c r="OA5">
        <f>BDS("CBCGQ US Equity","SUPPLY_CHAIN_SUPPLIERS_FULL_DATA")</f>
        <v/>
      </c>
      <c r="OO5">
        <f>BDS("CBCGQ US Equity","SUPPLY_CHAIN_CUSTOMERS_FULL_DATA")</f>
        <v/>
      </c>
      <c r="PE5">
        <f>BDS("NBR US Equity","SUPPLY_CHAIN_SUPPLIERS_FULL_DATA")</f>
        <v/>
      </c>
      <c r="PS5">
        <f>BDS("NBR US Equity","SUPPLY_CHAIN_CUSTOMERS_FULL_DATA")</f>
        <v/>
      </c>
      <c r="QI5">
        <f>BDS("TDS US Equity","SUPPLY_CHAIN_SUPPLIERS_FULL_DATA")</f>
        <v/>
      </c>
      <c r="QW5">
        <f>BDS("TDS US Equity","SUPPLY_CHAIN_CUSTOMERS_FULL_DATA")</f>
        <v/>
      </c>
      <c r="RM5">
        <f>BDS("JDAS US Equity","SUPPLY_CHAIN_SUPPLIERS_FULL_DATA")</f>
        <v/>
      </c>
      <c r="SA5">
        <f>BDS("JDAS US Equity","SUPPLY_CHAIN_CUSTOMERS_FULL_DATA")</f>
        <v/>
      </c>
      <c r="SQ5">
        <f>BDS("SNEX US Equity","SUPPLY_CHAIN_SUPPLIERS_FULL_DATA")</f>
        <v/>
      </c>
      <c r="TE5">
        <f>BDS("SNEX US Equity","SUPPLY_CHAIN_CUSTOMERS_FULL_DATA")</f>
        <v/>
      </c>
      <c r="TU5">
        <f>BDS("TFC US Equity","SUPPLY_CHAIN_SUPPLIERS_FULL_DATA")</f>
        <v/>
      </c>
      <c r="UI5">
        <f>BDS("TFC US Equity","SUPPLY_CHAIN_CUSTOMERS_FULL_DATA")</f>
        <v/>
      </c>
      <c r="UY5">
        <f>BDS("MCHP US Equity","SUPPLY_CHAIN_SUPPLIERS_FULL_DATA")</f>
        <v/>
      </c>
      <c r="VM5">
        <f>BDS("MCHP US Equity","SUPPLY_CHAIN_CUSTOMERS_FULL_DATA")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2601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2602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2603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2604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2605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2606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2607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2608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2609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2610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2611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2612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2613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2614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2615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2616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2617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2618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2619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2620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VYX US Equity</t>
        </is>
      </c>
      <c r="AE2" s="3" t="inlineStr">
        <is>
          <t>SYY US Equity</t>
        </is>
      </c>
      <c r="BI2" s="3" t="inlineStr">
        <is>
          <t>nan Equity</t>
        </is>
      </c>
      <c r="CM2" s="3" t="inlineStr">
        <is>
          <t>FOXA US Equity</t>
        </is>
      </c>
      <c r="DQ2" s="3" t="inlineStr">
        <is>
          <t>41018Q US Equity</t>
        </is>
      </c>
      <c r="EU2" s="3" t="inlineStr">
        <is>
          <t>PACW US Equity</t>
        </is>
      </c>
      <c r="FY2" s="3" t="inlineStr">
        <is>
          <t>MRK US Equity</t>
        </is>
      </c>
      <c r="HC2" s="3" t="inlineStr">
        <is>
          <t>345605Q US Equity</t>
        </is>
      </c>
      <c r="IG2" s="3" t="inlineStr">
        <is>
          <t>PG US Equity</t>
        </is>
      </c>
      <c r="JK2" s="3" t="inlineStr">
        <is>
          <t>BANC US Equity</t>
        </is>
      </c>
      <c r="KO2" s="3" t="inlineStr">
        <is>
          <t>UNIZ US Equity</t>
        </is>
      </c>
      <c r="LS2" s="3" t="inlineStr">
        <is>
          <t>9998522D US Equity</t>
        </is>
      </c>
      <c r="MW2" s="3" t="inlineStr">
        <is>
          <t>68335Q US Equity</t>
        </is>
      </c>
      <c r="OA2" s="3" t="inlineStr">
        <is>
          <t>HAS US Equity</t>
        </is>
      </c>
      <c r="PE2" s="3" t="inlineStr">
        <is>
          <t>2598Q US Equity</t>
        </is>
      </c>
      <c r="QI2" s="3" t="inlineStr">
        <is>
          <t>AFG US Equity</t>
        </is>
      </c>
      <c r="RM2" s="3" t="inlineStr">
        <is>
          <t>ZRAN US Equity</t>
        </is>
      </c>
      <c r="SQ2" s="3" t="inlineStr">
        <is>
          <t>PPBI US Equity</t>
        </is>
      </c>
      <c r="TU2" s="3" t="inlineStr">
        <is>
          <t>WBA US Equity</t>
        </is>
      </c>
      <c r="UY2" s="3" t="inlineStr">
        <is>
          <t>MSSN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BDS("VYX US Equity","SUPPLY_CHAIN_SUPPLIERS_FULL_DATA")</f>
        <v/>
      </c>
      <c r="O5">
        <f>BDS("VYX US Equity","SUPPLY_CHAIN_CUSTOMERS_FULL_DATA")</f>
        <v/>
      </c>
      <c r="AE5">
        <f>BDS("SYY US Equity","SUPPLY_CHAIN_SUPPLIERS_FULL_DATA")</f>
        <v/>
      </c>
      <c r="AS5">
        <f>BDS("SYY US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BDS("FOXA US Equity","SUPPLY_CHAIN_SUPPLIERS_FULL_DATA")</f>
        <v/>
      </c>
      <c r="DA5">
        <f>BDS("FOXA US Equity","SUPPLY_CHAIN_CUSTOMERS_FULL_DATA")</f>
        <v/>
      </c>
      <c r="DQ5">
        <f>BDS("41018Q US Equity","SUPPLY_CHAIN_SUPPLIERS_FULL_DATA")</f>
        <v/>
      </c>
      <c r="EE5">
        <f>BDS("41018Q US Equity","SUPPLY_CHAIN_CUSTOMERS_FULL_DATA")</f>
        <v/>
      </c>
      <c r="EU5">
        <f>BDS("PACW US Equity","SUPPLY_CHAIN_SUPPLIERS_FULL_DATA")</f>
        <v/>
      </c>
      <c r="FI5">
        <f>BDS("PACW US Equity","SUPPLY_CHAIN_CUSTOMERS_FULL_DATA")</f>
        <v/>
      </c>
      <c r="FY5">
        <f>BDS("MRK US Equity","SUPPLY_CHAIN_SUPPLIERS_FULL_DATA")</f>
        <v/>
      </c>
      <c r="GM5">
        <f>BDS("MRK US Equity","SUPPLY_CHAIN_CUSTOMERS_FULL_DATA")</f>
        <v/>
      </c>
      <c r="HC5">
        <f>BDS("345605Q US Equity","SUPPLY_CHAIN_SUPPLIERS_FULL_DATA")</f>
        <v/>
      </c>
      <c r="HQ5">
        <f>BDS("345605Q US Equity","SUPPLY_CHAIN_CUSTOMERS_FULL_DATA")</f>
        <v/>
      </c>
      <c r="IG5">
        <f>BDS("PG US Equity","SUPPLY_CHAIN_SUPPLIERS_FULL_DATA")</f>
        <v/>
      </c>
      <c r="IU5">
        <f>BDS("PG US Equity","SUPPLY_CHAIN_CUSTOMERS_FULL_DATA")</f>
        <v/>
      </c>
      <c r="JK5">
        <f>BDS("BANC US Equity","SUPPLY_CHAIN_SUPPLIERS_FULL_DATA")</f>
        <v/>
      </c>
      <c r="JY5">
        <f>BDS("BANC US Equity","SUPPLY_CHAIN_CUSTOMERS_FULL_DATA")</f>
        <v/>
      </c>
      <c r="KO5">
        <f>BDS("UNIZ US Equity","SUPPLY_CHAIN_SUPPLIERS_FULL_DATA")</f>
        <v/>
      </c>
      <c r="LC5">
        <f>BDS("UNIZ US Equity","SUPPLY_CHAIN_CUSTOMERS_FULL_DATA")</f>
        <v/>
      </c>
      <c r="LS5">
        <f>BDS("9998522D US Equity","SUPPLY_CHAIN_SUPPLIERS_FULL_DATA")</f>
        <v/>
      </c>
      <c r="MG5">
        <f>BDS("9998522D US Equity","SUPPLY_CHAIN_CUSTOMERS_FULL_DATA")</f>
        <v/>
      </c>
      <c r="MW5">
        <f>BDS("68335Q US Equity","SUPPLY_CHAIN_SUPPLIERS_FULL_DATA")</f>
        <v/>
      </c>
      <c r="NK5">
        <f>BDS("68335Q US Equity","SUPPLY_CHAIN_CUSTOMERS_FULL_DATA")</f>
        <v/>
      </c>
      <c r="OA5">
        <f>BDS("HAS US Equity","SUPPLY_CHAIN_SUPPLIERS_FULL_DATA")</f>
        <v/>
      </c>
      <c r="OO5">
        <f>BDS("HAS US Equity","SUPPLY_CHAIN_CUSTOMERS_FULL_DATA")</f>
        <v/>
      </c>
      <c r="PE5">
        <f>BDS("2598Q US Equity","SUPPLY_CHAIN_SUPPLIERS_FULL_DATA")</f>
        <v/>
      </c>
      <c r="PS5">
        <f>BDS("2598Q US Equity","SUPPLY_CHAIN_CUSTOMERS_FULL_DATA")</f>
        <v/>
      </c>
      <c r="QI5">
        <f>BDS("AFG US Equity","SUPPLY_CHAIN_SUPPLIERS_FULL_DATA")</f>
        <v/>
      </c>
      <c r="QW5">
        <f>BDS("AFG US Equity","SUPPLY_CHAIN_CUSTOMERS_FULL_DATA")</f>
        <v/>
      </c>
      <c r="RM5">
        <f>BDS("ZRAN US Equity","SUPPLY_CHAIN_SUPPLIERS_FULL_DATA")</f>
        <v/>
      </c>
      <c r="SA5">
        <f>BDS("ZRAN US Equity","SUPPLY_CHAIN_CUSTOMERS_FULL_DATA")</f>
        <v/>
      </c>
      <c r="SQ5">
        <f>BDS("PPBI US Equity","SUPPLY_CHAIN_SUPPLIERS_FULL_DATA")</f>
        <v/>
      </c>
      <c r="TE5">
        <f>BDS("PPBI US Equity","SUPPLY_CHAIN_CUSTOMERS_FULL_DATA")</f>
        <v/>
      </c>
      <c r="TU5">
        <f>BDS("WBA US Equity","SUPPLY_CHAIN_SUPPLIERS_FULL_DATA")</f>
        <v/>
      </c>
      <c r="UI5">
        <f>BDS("WBA US Equity","SUPPLY_CHAIN_CUSTOMERS_FULL_DATA")</f>
        <v/>
      </c>
      <c r="UY5">
        <f>BDS("MSSN US Equity","SUPPLY_CHAIN_SUPPLIERS_FULL_DATA")</f>
        <v/>
      </c>
      <c r="VM5">
        <f>BDS("MSSN US Equity","SUPPLY_CHAIN_CUSTOMERS_FULL_DATA")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2621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2622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2623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2624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2625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2626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2627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2628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2629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2630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2631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2632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2633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2634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2635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2636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2637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2638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2639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2640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EIG US Equity</t>
        </is>
      </c>
      <c r="AE2" s="3" t="inlineStr">
        <is>
          <t>VZ US Equity</t>
        </is>
      </c>
      <c r="BI2" s="3" t="inlineStr">
        <is>
          <t>VLY US Equity</t>
        </is>
      </c>
      <c r="CM2" s="3" t="inlineStr">
        <is>
          <t>DRYS US Equity</t>
        </is>
      </c>
      <c r="DQ2" s="3" t="inlineStr">
        <is>
          <t>HU US Equity</t>
        </is>
      </c>
      <c r="EU2" s="3" t="inlineStr">
        <is>
          <t>ANGO US Equity</t>
        </is>
      </c>
      <c r="FY2" s="3" t="inlineStr">
        <is>
          <t>KEA US Equity</t>
        </is>
      </c>
      <c r="HC2" s="3" t="inlineStr">
        <is>
          <t>CKFR US Equity</t>
        </is>
      </c>
      <c r="IG2" s="3" t="inlineStr">
        <is>
          <t>CPTH US Equity</t>
        </is>
      </c>
      <c r="JK2" s="3" t="inlineStr">
        <is>
          <t>1339658D US Equity</t>
        </is>
      </c>
      <c r="KO2" s="3" t="inlineStr">
        <is>
          <t>CPNLQ US Equity</t>
        </is>
      </c>
      <c r="LS2" s="3" t="inlineStr">
        <is>
          <t>SVU US Equity</t>
        </is>
      </c>
      <c r="MW2" s="3" t="inlineStr">
        <is>
          <t>1581410D US Equity</t>
        </is>
      </c>
      <c r="OA2" s="3" t="inlineStr">
        <is>
          <t>GE US Equity</t>
        </is>
      </c>
      <c r="PE2" s="3" t="inlineStr">
        <is>
          <t>nan Equity</t>
        </is>
      </c>
      <c r="QI2" s="3" t="inlineStr">
        <is>
          <t>EBAY US Equity</t>
        </is>
      </c>
      <c r="RM2" s="3" t="inlineStr">
        <is>
          <t>OZK US Equity</t>
        </is>
      </c>
      <c r="SQ2" s="3" t="inlineStr">
        <is>
          <t>KG US Equity</t>
        </is>
      </c>
      <c r="TU2" s="3" t="inlineStr">
        <is>
          <t>BPFH US Equity</t>
        </is>
      </c>
      <c r="UY2" s="3" t="inlineStr">
        <is>
          <t>WLMR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BDS("EIG US Equity","SUPPLY_CHAIN_SUPPLIERS_FULL_DATA")</f>
        <v/>
      </c>
      <c r="O5">
        <f>BDS("EIG US Equity","SUPPLY_CHAIN_CUSTOMERS_FULL_DATA")</f>
        <v/>
      </c>
      <c r="AE5">
        <f>BDS("VZ US Equity","SUPPLY_CHAIN_SUPPLIERS_FULL_DATA")</f>
        <v/>
      </c>
      <c r="AS5">
        <f>BDS("VZ US Equity","SUPPLY_CHAIN_CUSTOMERS_FULL_DATA")</f>
        <v/>
      </c>
      <c r="BI5">
        <f>BDS("VLY US Equity","SUPPLY_CHAIN_SUPPLIERS_FULL_DATA")</f>
        <v/>
      </c>
      <c r="BW5">
        <f>BDS("VLY US Equity","SUPPLY_CHAIN_CUSTOMERS_FULL_DATA")</f>
        <v/>
      </c>
      <c r="CM5">
        <f>BDS("DRYS US Equity","SUPPLY_CHAIN_SUPPLIERS_FULL_DATA")</f>
        <v/>
      </c>
      <c r="DA5">
        <f>BDS("DRYS US Equity","SUPPLY_CHAIN_CUSTOMERS_FULL_DATA")</f>
        <v/>
      </c>
      <c r="DQ5">
        <f>BDS("HU US Equity","SUPPLY_CHAIN_SUPPLIERS_FULL_DATA")</f>
        <v/>
      </c>
      <c r="EE5">
        <f>BDS("HU US Equity","SUPPLY_CHAIN_CUSTOMERS_FULL_DATA")</f>
        <v/>
      </c>
      <c r="EU5">
        <f>BDS("ANGO US Equity","SUPPLY_CHAIN_SUPPLIERS_FULL_DATA")</f>
        <v/>
      </c>
      <c r="FI5">
        <f>BDS("ANGO US Equity","SUPPLY_CHAIN_CUSTOMERS_FULL_DATA")</f>
        <v/>
      </c>
      <c r="FY5">
        <f>BDS("KEA US Equity","SUPPLY_CHAIN_SUPPLIERS_FULL_DATA")</f>
        <v/>
      </c>
      <c r="GM5">
        <f>BDS("KEA US Equity","SUPPLY_CHAIN_CUSTOMERS_FULL_DATA")</f>
        <v/>
      </c>
      <c r="HC5">
        <f>BDS("CKFR US Equity","SUPPLY_CHAIN_SUPPLIERS_FULL_DATA")</f>
        <v/>
      </c>
      <c r="HQ5">
        <f>BDS("CKFR US Equity","SUPPLY_CHAIN_CUSTOMERS_FULL_DATA")</f>
        <v/>
      </c>
      <c r="IG5">
        <f>BDS("CPTH US Equity","SUPPLY_CHAIN_SUPPLIERS_FULL_DATA")</f>
        <v/>
      </c>
      <c r="IU5">
        <f>BDS("CPTH US Equity","SUPPLY_CHAIN_CUSTOMERS_FULL_DATA")</f>
        <v/>
      </c>
      <c r="JK5">
        <f>BDS("1339658D US Equity","SUPPLY_CHAIN_SUPPLIERS_FULL_DATA")</f>
        <v/>
      </c>
      <c r="JY5">
        <f>BDS("1339658D US Equity","SUPPLY_CHAIN_CUSTOMERS_FULL_DATA")</f>
        <v/>
      </c>
      <c r="KO5">
        <f>BDS("CPNLQ US Equity","SUPPLY_CHAIN_SUPPLIERS_FULL_DATA")</f>
        <v/>
      </c>
      <c r="LC5">
        <f>BDS("CPNLQ US Equity","SUPPLY_CHAIN_CUSTOMERS_FULL_DATA")</f>
        <v/>
      </c>
      <c r="LS5">
        <f>BDS("SVU US Equity","SUPPLY_CHAIN_SUPPLIERS_FULL_DATA")</f>
        <v/>
      </c>
      <c r="MG5">
        <f>BDS("SVU US Equity","SUPPLY_CHAIN_CUSTOMERS_FULL_DATA")</f>
        <v/>
      </c>
      <c r="MW5">
        <f>BDS("1581410D US Equity","SUPPLY_CHAIN_SUPPLIERS_FULL_DATA")</f>
        <v/>
      </c>
      <c r="NK5">
        <f>BDS("1581410D US Equity","SUPPLY_CHAIN_CUSTOMERS_FULL_DATA")</f>
        <v/>
      </c>
      <c r="OA5">
        <f>BDS("GE US Equity","SUPPLY_CHAIN_SUPPLIERS_FULL_DATA")</f>
        <v/>
      </c>
      <c r="OO5">
        <f>BDS("GE US Equity","SUPPLY_CHAIN_CUSTOMERS_FULL_DATA")</f>
        <v/>
      </c>
      <c r="PE5">
        <f>BDS("nan Equity","SUPPLY_CHAIN_SUPPLIERS_FULL_DATA")</f>
        <v/>
      </c>
      <c r="PS5">
        <f>BDS("nan Equity","SUPPLY_CHAIN_CUSTOMERS_FULL_DATA")</f>
        <v/>
      </c>
      <c r="QI5">
        <f>BDS("EBAY US Equity","SUPPLY_CHAIN_SUPPLIERS_FULL_DATA")</f>
        <v/>
      </c>
      <c r="QW5">
        <f>BDS("EBAY US Equity","SUPPLY_CHAIN_CUSTOMERS_FULL_DATA")</f>
        <v/>
      </c>
      <c r="RM5">
        <f>BDS("OZK US Equity","SUPPLY_CHAIN_SUPPLIERS_FULL_DATA")</f>
        <v/>
      </c>
      <c r="SA5">
        <f>BDS("OZK US Equity","SUPPLY_CHAIN_CUSTOMERS_FULL_DATA")</f>
        <v/>
      </c>
      <c r="SQ5">
        <f>BDS("KG US Equity","SUPPLY_CHAIN_SUPPLIERS_FULL_DATA")</f>
        <v/>
      </c>
      <c r="TE5">
        <f>BDS("KG US Equity","SUPPLY_CHAIN_CUSTOMERS_FULL_DATA")</f>
        <v/>
      </c>
      <c r="TU5">
        <f>BDS("BPFH US Equity","SUPPLY_CHAIN_SUPPLIERS_FULL_DATA")</f>
        <v/>
      </c>
      <c r="UI5">
        <f>BDS("BPFH US Equity","SUPPLY_CHAIN_CUSTOMERS_FULL_DATA")</f>
        <v/>
      </c>
      <c r="UY5">
        <f>BDS("WLMR US Equity","SUPPLY_CHAIN_SUPPLIERS_FULL_DATA")</f>
        <v/>
      </c>
      <c r="VM5">
        <f>BDS("WLMR US Equity","SUPPLY_CHAIN_CUSTOMERS_FULL_DATA")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2641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2642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2643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2644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2645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2646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2647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2648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2649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2650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2651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2652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2653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2654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2655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2656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2657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2658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2659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2660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WBS US Equity</t>
        </is>
      </c>
      <c r="AE2" s="3" t="inlineStr">
        <is>
          <t>ONB US Equity</t>
        </is>
      </c>
      <c r="BI2" s="3" t="inlineStr">
        <is>
          <t>FCF US Equity</t>
        </is>
      </c>
      <c r="CM2" s="3" t="inlineStr">
        <is>
          <t>BRK/A US Equity</t>
        </is>
      </c>
      <c r="DQ2" s="3" t="inlineStr">
        <is>
          <t>1885807D US Equity</t>
        </is>
      </c>
      <c r="EU2" s="3" t="inlineStr">
        <is>
          <t>DVERQ US Equity</t>
        </is>
      </c>
      <c r="FY2" s="3" t="inlineStr">
        <is>
          <t>GMCR US Equity</t>
        </is>
      </c>
      <c r="HC2" s="3" t="inlineStr">
        <is>
          <t>HWC US Equity</t>
        </is>
      </c>
      <c r="IG2" s="3" t="inlineStr">
        <is>
          <t>KW US Equity</t>
        </is>
      </c>
      <c r="JK2" s="3" t="inlineStr">
        <is>
          <t>TIPT US Equity</t>
        </is>
      </c>
      <c r="KO2" s="3" t="inlineStr">
        <is>
          <t>ITXG US Equity</t>
        </is>
      </c>
      <c r="LS2" s="3" t="inlineStr">
        <is>
          <t>1723125D US Equity</t>
        </is>
      </c>
      <c r="MW2" s="3" t="inlineStr">
        <is>
          <t>EVRC US Equity</t>
        </is>
      </c>
      <c r="OA2" s="3" t="inlineStr">
        <is>
          <t>LPX US Equity</t>
        </is>
      </c>
      <c r="PE2" s="3" t="inlineStr">
        <is>
          <t>NSIT US Equity</t>
        </is>
      </c>
      <c r="QI2" s="3" t="inlineStr">
        <is>
          <t>LEHMQ US Equity</t>
        </is>
      </c>
      <c r="RM2" s="3" t="inlineStr">
        <is>
          <t>IPCS US Equity</t>
        </is>
      </c>
      <c r="SQ2" s="3" t="inlineStr">
        <is>
          <t>CAG US Equity</t>
        </is>
      </c>
      <c r="TU2" s="3" t="inlineStr">
        <is>
          <t>WBS US Equity</t>
        </is>
      </c>
      <c r="UY2" s="3" t="inlineStr">
        <is>
          <t>1552309D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BDS("WBS US Equity","SUPPLY_CHAIN_SUPPLIERS_FULL_DATA")</f>
        <v/>
      </c>
      <c r="O5">
        <f>BDS("WBS US Equity","SUPPLY_CHAIN_CUSTOMERS_FULL_DATA")</f>
        <v/>
      </c>
      <c r="AE5">
        <f>BDS("ONB US Equity","SUPPLY_CHAIN_SUPPLIERS_FULL_DATA")</f>
        <v/>
      </c>
      <c r="AS5">
        <f>BDS("ONB US Equity","SUPPLY_CHAIN_CUSTOMERS_FULL_DATA")</f>
        <v/>
      </c>
      <c r="BI5">
        <f>BDS("FCF US Equity","SUPPLY_CHAIN_SUPPLIERS_FULL_DATA")</f>
        <v/>
      </c>
      <c r="BW5">
        <f>BDS("FCF US Equity","SUPPLY_CHAIN_CUSTOMERS_FULL_DATA")</f>
        <v/>
      </c>
      <c r="CM5">
        <f>BDS("BRK/A US Equity","SUPPLY_CHAIN_SUPPLIERS_FULL_DATA")</f>
        <v/>
      </c>
      <c r="DA5">
        <f>BDS("BRK/A US Equity","SUPPLY_CHAIN_CUSTOMERS_FULL_DATA")</f>
        <v/>
      </c>
      <c r="DQ5">
        <f>BDS("1885807D US Equity","SUPPLY_CHAIN_SUPPLIERS_FULL_DATA")</f>
        <v/>
      </c>
      <c r="EE5">
        <f>BDS("1885807D US Equity","SUPPLY_CHAIN_CUSTOMERS_FULL_DATA")</f>
        <v/>
      </c>
      <c r="EU5">
        <f>BDS("DVERQ US Equity","SUPPLY_CHAIN_SUPPLIERS_FULL_DATA")</f>
        <v/>
      </c>
      <c r="FI5">
        <f>BDS("DVERQ US Equity","SUPPLY_CHAIN_CUSTOMERS_FULL_DATA")</f>
        <v/>
      </c>
      <c r="FY5">
        <f>BDS("GMCR US Equity","SUPPLY_CHAIN_SUPPLIERS_FULL_DATA")</f>
        <v/>
      </c>
      <c r="GM5">
        <f>BDS("GMCR US Equity","SUPPLY_CHAIN_CUSTOMERS_FULL_DATA")</f>
        <v/>
      </c>
      <c r="HC5">
        <f>BDS("HWC US Equity","SUPPLY_CHAIN_SUPPLIERS_FULL_DATA")</f>
        <v/>
      </c>
      <c r="HQ5">
        <f>BDS("HWC US Equity","SUPPLY_CHAIN_CUSTOMERS_FULL_DATA")</f>
        <v/>
      </c>
      <c r="IG5">
        <f>BDS("KW US Equity","SUPPLY_CHAIN_SUPPLIERS_FULL_DATA")</f>
        <v/>
      </c>
      <c r="IU5">
        <f>BDS("KW US Equity","SUPPLY_CHAIN_CUSTOMERS_FULL_DATA")</f>
        <v/>
      </c>
      <c r="JK5">
        <f>BDS("TIPT US Equity","SUPPLY_CHAIN_SUPPLIERS_FULL_DATA")</f>
        <v/>
      </c>
      <c r="JY5">
        <f>BDS("TIPT US Equity","SUPPLY_CHAIN_CUSTOMERS_FULL_DATA")</f>
        <v/>
      </c>
      <c r="KO5">
        <f>BDS("ITXG US Equity","SUPPLY_CHAIN_SUPPLIERS_FULL_DATA")</f>
        <v/>
      </c>
      <c r="LC5">
        <f>BDS("ITXG US Equity","SUPPLY_CHAIN_CUSTOMERS_FULL_DATA")</f>
        <v/>
      </c>
      <c r="LS5">
        <f>BDS("1723125D US Equity","SUPPLY_CHAIN_SUPPLIERS_FULL_DATA")</f>
        <v/>
      </c>
      <c r="MG5">
        <f>BDS("1723125D US Equity","SUPPLY_CHAIN_CUSTOMERS_FULL_DATA")</f>
        <v/>
      </c>
      <c r="MW5">
        <f>BDS("EVRC US Equity","SUPPLY_CHAIN_SUPPLIERS_FULL_DATA")</f>
        <v/>
      </c>
      <c r="NK5">
        <f>BDS("EVRC US Equity","SUPPLY_CHAIN_CUSTOMERS_FULL_DATA")</f>
        <v/>
      </c>
      <c r="OA5">
        <f>BDS("LPX US Equity","SUPPLY_CHAIN_SUPPLIERS_FULL_DATA")</f>
        <v/>
      </c>
      <c r="OO5">
        <f>BDS("LPX US Equity","SUPPLY_CHAIN_CUSTOMERS_FULL_DATA")</f>
        <v/>
      </c>
      <c r="PE5">
        <f>BDS("NSIT US Equity","SUPPLY_CHAIN_SUPPLIERS_FULL_DATA")</f>
        <v/>
      </c>
      <c r="PS5">
        <f>BDS("NSIT US Equity","SUPPLY_CHAIN_CUSTOMERS_FULL_DATA")</f>
        <v/>
      </c>
      <c r="QI5">
        <f>BDS("LEHMQ US Equity","SUPPLY_CHAIN_SUPPLIERS_FULL_DATA")</f>
        <v/>
      </c>
      <c r="QW5">
        <f>BDS("LEHMQ US Equity","SUPPLY_CHAIN_CUSTOMERS_FULL_DATA")</f>
        <v/>
      </c>
      <c r="RM5">
        <f>BDS("IPCS US Equity","SUPPLY_CHAIN_SUPPLIERS_FULL_DATA")</f>
        <v/>
      </c>
      <c r="SA5">
        <f>BDS("IPCS US Equity","SUPPLY_CHAIN_CUSTOMERS_FULL_DATA")</f>
        <v/>
      </c>
      <c r="SQ5">
        <f>BDS("CAG US Equity","SUPPLY_CHAIN_SUPPLIERS_FULL_DATA")</f>
        <v/>
      </c>
      <c r="TE5">
        <f>BDS("CAG US Equity","SUPPLY_CHAIN_CUSTOMERS_FULL_DATA")</f>
        <v/>
      </c>
      <c r="TU5">
        <f>BDS("WBS US Equity","SUPPLY_CHAIN_SUPPLIERS_FULL_DATA")</f>
        <v/>
      </c>
      <c r="UI5">
        <f>BDS("WBS US Equity","SUPPLY_CHAIN_CUSTOMERS_FULL_DATA")</f>
        <v/>
      </c>
      <c r="UY5">
        <f>BDS("1552309D US Equity","SUPPLY_CHAIN_SUPPLIERS_FULL_DATA")</f>
        <v/>
      </c>
      <c r="VM5">
        <f>BDS("1552309D US Equity","SUPPLY_CHAIN_CUSTOMERS_FULL_DATA")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2661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2662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2663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2664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2665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2666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2667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2668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2669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2670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2671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2672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2673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2674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2675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2676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2677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2678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2679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2680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FCNCA US Equity</t>
        </is>
      </c>
      <c r="BI2" s="3" t="inlineStr">
        <is>
          <t>CCS US Equity</t>
        </is>
      </c>
      <c r="CM2" s="3" t="inlineStr">
        <is>
          <t>WINMQ US Equity</t>
        </is>
      </c>
      <c r="DQ2" s="3" t="inlineStr">
        <is>
          <t>EXCO US Equity</t>
        </is>
      </c>
      <c r="EU2" s="3" t="inlineStr">
        <is>
          <t>BUSE US Equity</t>
        </is>
      </c>
      <c r="FY2" s="3" t="inlineStr">
        <is>
          <t>DHR US Equity</t>
        </is>
      </c>
      <c r="HC2" s="3" t="inlineStr">
        <is>
          <t>T US Equity</t>
        </is>
      </c>
      <c r="IG2" s="3" t="inlineStr">
        <is>
          <t>HPQ US Equity</t>
        </is>
      </c>
      <c r="JK2" s="3" t="inlineStr">
        <is>
          <t>HDC US Equity</t>
        </is>
      </c>
      <c r="KO2" s="3" t="inlineStr">
        <is>
          <t>WSBC US Equity</t>
        </is>
      </c>
      <c r="LS2" s="3" t="inlineStr">
        <is>
          <t>DKS US Equity</t>
        </is>
      </c>
      <c r="MW2" s="3" t="inlineStr">
        <is>
          <t>SUSQ US Equity</t>
        </is>
      </c>
      <c r="OA2" s="3" t="inlineStr">
        <is>
          <t>DVW US Equity</t>
        </is>
      </c>
      <c r="PE2" s="3" t="inlineStr">
        <is>
          <t>SYKE US Equity</t>
        </is>
      </c>
      <c r="QI2" s="3" t="inlineStr">
        <is>
          <t>GBCI US Equity</t>
        </is>
      </c>
      <c r="RM2" s="3" t="inlineStr">
        <is>
          <t>BONTQ US Equity</t>
        </is>
      </c>
      <c r="SQ2" s="3" t="inlineStr">
        <is>
          <t>STBA US Equity</t>
        </is>
      </c>
      <c r="TU2" s="3" t="inlineStr">
        <is>
          <t>TTN US Equity</t>
        </is>
      </c>
      <c r="UY2" s="3" t="inlineStr">
        <is>
          <t>UBSI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BDS("FCNCA US Equity","SUPPLY_CHAIN_SUPPLIERS_FULL_DATA")</f>
        <v/>
      </c>
      <c r="AS5">
        <f>BDS("FCNCA US Equity","SUPPLY_CHAIN_CUSTOMERS_FULL_DATA")</f>
        <v/>
      </c>
      <c r="BI5">
        <f>BDS("CCS US Equity","SUPPLY_CHAIN_SUPPLIERS_FULL_DATA")</f>
        <v/>
      </c>
      <c r="BW5">
        <f>BDS("CCS US Equity","SUPPLY_CHAIN_CUSTOMERS_FULL_DATA")</f>
        <v/>
      </c>
      <c r="CM5">
        <f>BDS("WINMQ US Equity","SUPPLY_CHAIN_SUPPLIERS_FULL_DATA")</f>
        <v/>
      </c>
      <c r="DA5">
        <f>BDS("WINMQ US Equity","SUPPLY_CHAIN_CUSTOMERS_FULL_DATA")</f>
        <v/>
      </c>
      <c r="DQ5">
        <f>BDS("EXCO US Equity","SUPPLY_CHAIN_SUPPLIERS_FULL_DATA")</f>
        <v/>
      </c>
      <c r="EE5">
        <f>BDS("EXCO US Equity","SUPPLY_CHAIN_CUSTOMERS_FULL_DATA")</f>
        <v/>
      </c>
      <c r="EU5">
        <f>BDS("BUSE US Equity","SUPPLY_CHAIN_SUPPLIERS_FULL_DATA")</f>
        <v/>
      </c>
      <c r="FI5">
        <f>BDS("BUSE US Equity","SUPPLY_CHAIN_CUSTOMERS_FULL_DATA")</f>
        <v/>
      </c>
      <c r="FY5">
        <f>BDS("DHR US Equity","SUPPLY_CHAIN_SUPPLIERS_FULL_DATA")</f>
        <v/>
      </c>
      <c r="GM5">
        <f>BDS("DHR US Equity","SUPPLY_CHAIN_CUSTOMERS_FULL_DATA")</f>
        <v/>
      </c>
      <c r="HC5">
        <f>BDS("T US Equity","SUPPLY_CHAIN_SUPPLIERS_FULL_DATA")</f>
        <v/>
      </c>
      <c r="HQ5">
        <f>BDS("T US Equity","SUPPLY_CHAIN_CUSTOMERS_FULL_DATA")</f>
        <v/>
      </c>
      <c r="IG5">
        <f>BDS("HPQ US Equity","SUPPLY_CHAIN_SUPPLIERS_FULL_DATA")</f>
        <v/>
      </c>
      <c r="IU5">
        <f>BDS("HPQ US Equity","SUPPLY_CHAIN_CUSTOMERS_FULL_DATA")</f>
        <v/>
      </c>
      <c r="JK5">
        <f>BDS("HDC US Equity","SUPPLY_CHAIN_SUPPLIERS_FULL_DATA")</f>
        <v/>
      </c>
      <c r="JY5">
        <f>BDS("HDC US Equity","SUPPLY_CHAIN_CUSTOMERS_FULL_DATA")</f>
        <v/>
      </c>
      <c r="KO5">
        <f>BDS("WSBC US Equity","SUPPLY_CHAIN_SUPPLIERS_FULL_DATA")</f>
        <v/>
      </c>
      <c r="LC5">
        <f>BDS("WSBC US Equity","SUPPLY_CHAIN_CUSTOMERS_FULL_DATA")</f>
        <v/>
      </c>
      <c r="LS5">
        <f>BDS("DKS US Equity","SUPPLY_CHAIN_SUPPLIERS_FULL_DATA")</f>
        <v/>
      </c>
      <c r="MG5">
        <f>BDS("DKS US Equity","SUPPLY_CHAIN_CUSTOMERS_FULL_DATA")</f>
        <v/>
      </c>
      <c r="MW5">
        <f>BDS("SUSQ US Equity","SUPPLY_CHAIN_SUPPLIERS_FULL_DATA")</f>
        <v/>
      </c>
      <c r="NK5">
        <f>BDS("SUSQ US Equity","SUPPLY_CHAIN_CUSTOMERS_FULL_DATA")</f>
        <v/>
      </c>
      <c r="OA5">
        <f>BDS("DVW US Equity","SUPPLY_CHAIN_SUPPLIERS_FULL_DATA")</f>
        <v/>
      </c>
      <c r="OO5">
        <f>BDS("DVW US Equity","SUPPLY_CHAIN_CUSTOMERS_FULL_DATA")</f>
        <v/>
      </c>
      <c r="PE5">
        <f>BDS("SYKE US Equity","SUPPLY_CHAIN_SUPPLIERS_FULL_DATA")</f>
        <v/>
      </c>
      <c r="PS5">
        <f>BDS("SYKE US Equity","SUPPLY_CHAIN_CUSTOMERS_FULL_DATA")</f>
        <v/>
      </c>
      <c r="QI5">
        <f>BDS("GBCI US Equity","SUPPLY_CHAIN_SUPPLIERS_FULL_DATA")</f>
        <v/>
      </c>
      <c r="QW5">
        <f>BDS("GBCI US Equity","SUPPLY_CHAIN_CUSTOMERS_FULL_DATA")</f>
        <v/>
      </c>
      <c r="RM5">
        <f>BDS("BONTQ US Equity","SUPPLY_CHAIN_SUPPLIERS_FULL_DATA")</f>
        <v/>
      </c>
      <c r="SA5">
        <f>BDS("BONTQ US Equity","SUPPLY_CHAIN_CUSTOMERS_FULL_DATA")</f>
        <v/>
      </c>
      <c r="SQ5">
        <f>BDS("STBA US Equity","SUPPLY_CHAIN_SUPPLIERS_FULL_DATA")</f>
        <v/>
      </c>
      <c r="TE5">
        <f>BDS("STBA US Equity","SUPPLY_CHAIN_CUSTOMERS_FULL_DATA")</f>
        <v/>
      </c>
      <c r="TU5">
        <f>BDS("TTN US Equity","SUPPLY_CHAIN_SUPPLIERS_FULL_DATA")</f>
        <v/>
      </c>
      <c r="UI5">
        <f>BDS("TTN US Equity","SUPPLY_CHAIN_CUSTOMERS_FULL_DATA")</f>
        <v/>
      </c>
      <c r="UY5">
        <f>BDS("UBSI US Equity","SUPPLY_CHAIN_SUPPLIERS_FULL_DATA")</f>
        <v/>
      </c>
      <c r="VM5">
        <f>BDS("UBSI US Equity","SUPPLY_CHAIN_CUSTOMERS_FULL_DATA")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2681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2682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2683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2684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2685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2686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2687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2688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2689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2690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2691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2692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2693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2694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2695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2696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2697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2698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2699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2700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GFR US Equity</t>
        </is>
      </c>
      <c r="AE2" s="3" t="inlineStr">
        <is>
          <t>SPXC US Equity</t>
        </is>
      </c>
      <c r="BI2" s="3" t="inlineStr">
        <is>
          <t>QNTSQ US Equity</t>
        </is>
      </c>
      <c r="CM2" s="3" t="inlineStr">
        <is>
          <t>GEO US Equity</t>
        </is>
      </c>
      <c r="DQ2" s="3" t="inlineStr">
        <is>
          <t>BCSI US Equity</t>
        </is>
      </c>
      <c r="EU2" s="3" t="inlineStr">
        <is>
          <t>OMX US Equity</t>
        </is>
      </c>
      <c r="FY2" s="3" t="inlineStr">
        <is>
          <t>RDNT US Equity</t>
        </is>
      </c>
      <c r="HC2" s="3" t="inlineStr">
        <is>
          <t>GPUI US Equity</t>
        </is>
      </c>
      <c r="IG2" s="3" t="inlineStr">
        <is>
          <t>FITB US Equity</t>
        </is>
      </c>
      <c r="JK2" s="3" t="inlineStr">
        <is>
          <t>WSBC US Equity</t>
        </is>
      </c>
      <c r="KO2" s="3" t="inlineStr">
        <is>
          <t>EGL US Equity</t>
        </is>
      </c>
      <c r="LS2" s="3" t="inlineStr">
        <is>
          <t>CVBF US Equity</t>
        </is>
      </c>
      <c r="MW2" s="3" t="inlineStr">
        <is>
          <t>OCFC US Equity</t>
        </is>
      </c>
      <c r="OA2" s="3" t="inlineStr">
        <is>
          <t>CMVT US Equity</t>
        </is>
      </c>
      <c r="PE2" s="3" t="inlineStr">
        <is>
          <t>1718309D US Equity</t>
        </is>
      </c>
      <c r="QI2" s="3" t="inlineStr">
        <is>
          <t>PNFP US Equity</t>
        </is>
      </c>
      <c r="RM2" s="3" t="inlineStr">
        <is>
          <t>FITB US Equity</t>
        </is>
      </c>
      <c r="SQ2" s="3" t="inlineStr">
        <is>
          <t>ECPG US Equity</t>
        </is>
      </c>
      <c r="TU2" s="3" t="inlineStr">
        <is>
          <t>nan Equity</t>
        </is>
      </c>
      <c r="UY2" s="3" t="inlineStr">
        <is>
          <t>2860436Q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BDS("GFR US Equity","SUPPLY_CHAIN_SUPPLIERS_FULL_DATA")</f>
        <v/>
      </c>
      <c r="O5">
        <f>BDS("GFR US Equity","SUPPLY_CHAIN_CUSTOMERS_FULL_DATA")</f>
        <v/>
      </c>
      <c r="AE5">
        <f>BDS("SPXC US Equity","SUPPLY_CHAIN_SUPPLIERS_FULL_DATA")</f>
        <v/>
      </c>
      <c r="AS5">
        <f>BDS("SPXC US Equity","SUPPLY_CHAIN_CUSTOMERS_FULL_DATA")</f>
        <v/>
      </c>
      <c r="BI5">
        <f>BDS("QNTSQ US Equity","SUPPLY_CHAIN_SUPPLIERS_FULL_DATA")</f>
        <v/>
      </c>
      <c r="BW5">
        <f>BDS("QNTSQ US Equity","SUPPLY_CHAIN_CUSTOMERS_FULL_DATA")</f>
        <v/>
      </c>
      <c r="CM5">
        <f>BDS("GEO US Equity","SUPPLY_CHAIN_SUPPLIERS_FULL_DATA")</f>
        <v/>
      </c>
      <c r="DA5">
        <f>BDS("GEO US Equity","SUPPLY_CHAIN_CUSTOMERS_FULL_DATA")</f>
        <v/>
      </c>
      <c r="DQ5">
        <f>BDS("BCSI US Equity","SUPPLY_CHAIN_SUPPLIERS_FULL_DATA")</f>
        <v/>
      </c>
      <c r="EE5">
        <f>BDS("BCSI US Equity","SUPPLY_CHAIN_CUSTOMERS_FULL_DATA")</f>
        <v/>
      </c>
      <c r="EU5">
        <f>BDS("OMX US Equity","SUPPLY_CHAIN_SUPPLIERS_FULL_DATA")</f>
        <v/>
      </c>
      <c r="FI5">
        <f>BDS("OMX US Equity","SUPPLY_CHAIN_CUSTOMERS_FULL_DATA")</f>
        <v/>
      </c>
      <c r="FY5">
        <f>BDS("RDNT US Equity","SUPPLY_CHAIN_SUPPLIERS_FULL_DATA")</f>
        <v/>
      </c>
      <c r="GM5">
        <f>BDS("RDNT US Equity","SUPPLY_CHAIN_CUSTOMERS_FULL_DATA")</f>
        <v/>
      </c>
      <c r="HC5">
        <f>BDS("GPUI US Equity","SUPPLY_CHAIN_SUPPLIERS_FULL_DATA")</f>
        <v/>
      </c>
      <c r="HQ5">
        <f>BDS("GPUI US Equity","SUPPLY_CHAIN_CUSTOMERS_FULL_DATA")</f>
        <v/>
      </c>
      <c r="IG5">
        <f>BDS("FITB US Equity","SUPPLY_CHAIN_SUPPLIERS_FULL_DATA")</f>
        <v/>
      </c>
      <c r="IU5">
        <f>BDS("FITB US Equity","SUPPLY_CHAIN_CUSTOMERS_FULL_DATA")</f>
        <v/>
      </c>
      <c r="JK5">
        <f>BDS("WSBC US Equity","SUPPLY_CHAIN_SUPPLIERS_FULL_DATA")</f>
        <v/>
      </c>
      <c r="JY5">
        <f>BDS("WSBC US Equity","SUPPLY_CHAIN_CUSTOMERS_FULL_DATA")</f>
        <v/>
      </c>
      <c r="KO5">
        <f>BDS("EGL US Equity","SUPPLY_CHAIN_SUPPLIERS_FULL_DATA")</f>
        <v/>
      </c>
      <c r="LC5">
        <f>BDS("EGL US Equity","SUPPLY_CHAIN_CUSTOMERS_FULL_DATA")</f>
        <v/>
      </c>
      <c r="LS5">
        <f>BDS("CVBF US Equity","SUPPLY_CHAIN_SUPPLIERS_FULL_DATA")</f>
        <v/>
      </c>
      <c r="MG5">
        <f>BDS("CVBF US Equity","SUPPLY_CHAIN_CUSTOMERS_FULL_DATA")</f>
        <v/>
      </c>
      <c r="MW5">
        <f>BDS("OCFC US Equity","SUPPLY_CHAIN_SUPPLIERS_FULL_DATA")</f>
        <v/>
      </c>
      <c r="NK5">
        <f>BDS("OCFC US Equity","SUPPLY_CHAIN_CUSTOMERS_FULL_DATA")</f>
        <v/>
      </c>
      <c r="OA5">
        <f>BDS("CMVT US Equity","SUPPLY_CHAIN_SUPPLIERS_FULL_DATA")</f>
        <v/>
      </c>
      <c r="OO5">
        <f>BDS("CMVT US Equity","SUPPLY_CHAIN_CUSTOMERS_FULL_DATA")</f>
        <v/>
      </c>
      <c r="PE5">
        <f>BDS("1718309D US Equity","SUPPLY_CHAIN_SUPPLIERS_FULL_DATA")</f>
        <v/>
      </c>
      <c r="PS5">
        <f>BDS("1718309D US Equity","SUPPLY_CHAIN_CUSTOMERS_FULL_DATA")</f>
        <v/>
      </c>
      <c r="QI5">
        <f>BDS("PNFP US Equity","SUPPLY_CHAIN_SUPPLIERS_FULL_DATA")</f>
        <v/>
      </c>
      <c r="QW5">
        <f>BDS("PNFP US Equity","SUPPLY_CHAIN_CUSTOMERS_FULL_DATA")</f>
        <v/>
      </c>
      <c r="RM5">
        <f>BDS("FITB US Equity","SUPPLY_CHAIN_SUPPLIERS_FULL_DATA")</f>
        <v/>
      </c>
      <c r="SA5">
        <f>BDS("FITB US Equity","SUPPLY_CHAIN_CUSTOMERS_FULL_DATA")</f>
        <v/>
      </c>
      <c r="SQ5">
        <f>BDS("ECPG US Equity","SUPPLY_CHAIN_SUPPLIERS_FULL_DATA")</f>
        <v/>
      </c>
      <c r="TE5">
        <f>BDS("ECPG US Equity","SUPPLY_CHAIN_CUSTOMERS_FULL_DATA")</f>
        <v/>
      </c>
      <c r="TU5">
        <f>BDS("nan Equity","SUPPLY_CHAIN_SUPPLIERS_FULL_DATA")</f>
        <v/>
      </c>
      <c r="UI5">
        <f>BDS("nan Equity","SUPPLY_CHAIN_CUSTOMERS_FULL_DATA")</f>
        <v/>
      </c>
      <c r="UY5">
        <f>BDS("2860436Q US Equity","SUPPLY_CHAIN_SUPPLIERS_FULL_DATA")</f>
        <v/>
      </c>
      <c r="VM5">
        <f>BDS("2860436Q US Equity","SUPPLY_CHAIN_CUSTOMERS_FULL_DATA")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2701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2702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2703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2704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2705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2706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2707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2708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2709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2710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2711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2712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2713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2714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2715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2716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2717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2718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2719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2720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YELLQ US Equity</t>
        </is>
      </c>
      <c r="AE2" s="3" t="inlineStr">
        <is>
          <t>FLTWQ US Equity</t>
        </is>
      </c>
      <c r="BI2" s="3" t="inlineStr">
        <is>
          <t>GE US Equity</t>
        </is>
      </c>
      <c r="CM2" s="3" t="inlineStr">
        <is>
          <t>EXAR US Equity</t>
        </is>
      </c>
      <c r="DQ2" s="3" t="inlineStr">
        <is>
          <t>CMTL US Equity</t>
        </is>
      </c>
      <c r="EU2" s="3" t="inlineStr">
        <is>
          <t>510639Q US Equity</t>
        </is>
      </c>
      <c r="FY2" s="3" t="inlineStr">
        <is>
          <t>ORA US Equity</t>
        </is>
      </c>
      <c r="HC2" s="3" t="inlineStr">
        <is>
          <t>SHLM US Equity</t>
        </is>
      </c>
      <c r="IG2" s="3" t="inlineStr">
        <is>
          <t>nan Equity</t>
        </is>
      </c>
      <c r="JK2" s="3" t="inlineStr">
        <is>
          <t>1746513D US Equity</t>
        </is>
      </c>
      <c r="KO2" s="3" t="inlineStr">
        <is>
          <t>PONE US Equity</t>
        </is>
      </c>
      <c r="LS2" s="3" t="inlineStr">
        <is>
          <t>THG US Equity</t>
        </is>
      </c>
      <c r="MW2" s="3" t="inlineStr">
        <is>
          <t>SFAM US Equity</t>
        </is>
      </c>
      <c r="OA2" s="3" t="inlineStr">
        <is>
          <t>PACW US Equity</t>
        </is>
      </c>
      <c r="PE2" s="3" t="inlineStr">
        <is>
          <t>AXAS US Equity</t>
        </is>
      </c>
      <c r="QI2" s="3" t="inlineStr">
        <is>
          <t>1996074D US Equity</t>
        </is>
      </c>
      <c r="RM2" s="3" t="inlineStr">
        <is>
          <t>WSTL US Equity</t>
        </is>
      </c>
      <c r="SQ2" s="3" t="inlineStr">
        <is>
          <t>HTH US Equity</t>
        </is>
      </c>
      <c r="TU2" s="3" t="inlineStr">
        <is>
          <t>FLWS US Equity</t>
        </is>
      </c>
      <c r="UY2" s="3" t="inlineStr">
        <is>
          <t>CLRN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BDS("YELLQ US Equity","SUPPLY_CHAIN_SUPPLIERS_FULL_DATA")</f>
        <v/>
      </c>
      <c r="O5">
        <f>BDS("YELLQ US Equity","SUPPLY_CHAIN_CUSTOMERS_FULL_DATA")</f>
        <v/>
      </c>
      <c r="AE5">
        <f>BDS("FLTWQ US Equity","SUPPLY_CHAIN_SUPPLIERS_FULL_DATA")</f>
        <v/>
      </c>
      <c r="AS5">
        <f>BDS("FLTWQ US Equity","SUPPLY_CHAIN_CUSTOMERS_FULL_DATA")</f>
        <v/>
      </c>
      <c r="BI5">
        <f>BDS("GE US Equity","SUPPLY_CHAIN_SUPPLIERS_FULL_DATA")</f>
        <v/>
      </c>
      <c r="BW5">
        <f>BDS("GE US Equity","SUPPLY_CHAIN_CUSTOMERS_FULL_DATA")</f>
        <v/>
      </c>
      <c r="CM5">
        <f>BDS("EXAR US Equity","SUPPLY_CHAIN_SUPPLIERS_FULL_DATA")</f>
        <v/>
      </c>
      <c r="DA5">
        <f>BDS("EXAR US Equity","SUPPLY_CHAIN_CUSTOMERS_FULL_DATA")</f>
        <v/>
      </c>
      <c r="DQ5">
        <f>BDS("CMTL US Equity","SUPPLY_CHAIN_SUPPLIERS_FULL_DATA")</f>
        <v/>
      </c>
      <c r="EE5">
        <f>BDS("CMTL US Equity","SUPPLY_CHAIN_CUSTOMERS_FULL_DATA")</f>
        <v/>
      </c>
      <c r="EU5">
        <f>BDS("510639Q US Equity","SUPPLY_CHAIN_SUPPLIERS_FULL_DATA")</f>
        <v/>
      </c>
      <c r="FI5">
        <f>BDS("510639Q US Equity","SUPPLY_CHAIN_CUSTOMERS_FULL_DATA")</f>
        <v/>
      </c>
      <c r="FY5">
        <f>BDS("ORA US Equity","SUPPLY_CHAIN_SUPPLIERS_FULL_DATA")</f>
        <v/>
      </c>
      <c r="GM5">
        <f>BDS("ORA US Equity","SUPPLY_CHAIN_CUSTOMERS_FULL_DATA")</f>
        <v/>
      </c>
      <c r="HC5">
        <f>BDS("SHLM US Equity","SUPPLY_CHAIN_SUPPLIERS_FULL_DATA")</f>
        <v/>
      </c>
      <c r="HQ5">
        <f>BDS("SHLM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BDS("1746513D US Equity","SUPPLY_CHAIN_SUPPLIERS_FULL_DATA")</f>
        <v/>
      </c>
      <c r="JY5">
        <f>BDS("1746513D US Equity","SUPPLY_CHAIN_CUSTOMERS_FULL_DATA")</f>
        <v/>
      </c>
      <c r="KO5">
        <f>BDS("PONE US Equity","SUPPLY_CHAIN_SUPPLIERS_FULL_DATA")</f>
        <v/>
      </c>
      <c r="LC5">
        <f>BDS("PONE US Equity","SUPPLY_CHAIN_CUSTOMERS_FULL_DATA")</f>
        <v/>
      </c>
      <c r="LS5">
        <f>BDS("THG US Equity","SUPPLY_CHAIN_SUPPLIERS_FULL_DATA")</f>
        <v/>
      </c>
      <c r="MG5">
        <f>BDS("THG US Equity","SUPPLY_CHAIN_CUSTOMERS_FULL_DATA")</f>
        <v/>
      </c>
      <c r="MW5">
        <f>BDS("SFAM US Equity","SUPPLY_CHAIN_SUPPLIERS_FULL_DATA")</f>
        <v/>
      </c>
      <c r="NK5">
        <f>BDS("SFAM US Equity","SUPPLY_CHAIN_CUSTOMERS_FULL_DATA")</f>
        <v/>
      </c>
      <c r="OA5">
        <f>BDS("PACW US Equity","SUPPLY_CHAIN_SUPPLIERS_FULL_DATA")</f>
        <v/>
      </c>
      <c r="OO5">
        <f>BDS("PACW US Equity","SUPPLY_CHAIN_CUSTOMERS_FULL_DATA")</f>
        <v/>
      </c>
      <c r="PE5">
        <f>BDS("AXAS US Equity","SUPPLY_CHAIN_SUPPLIERS_FULL_DATA")</f>
        <v/>
      </c>
      <c r="PS5">
        <f>BDS("AXAS US Equity","SUPPLY_CHAIN_CUSTOMERS_FULL_DATA")</f>
        <v/>
      </c>
      <c r="QI5">
        <f>BDS("1996074D US Equity","SUPPLY_CHAIN_SUPPLIERS_FULL_DATA")</f>
        <v/>
      </c>
      <c r="QW5">
        <f>BDS("1996074D US Equity","SUPPLY_CHAIN_CUSTOMERS_FULL_DATA")</f>
        <v/>
      </c>
      <c r="RM5">
        <f>BDS("WSTL US Equity","SUPPLY_CHAIN_SUPPLIERS_FULL_DATA")</f>
        <v/>
      </c>
      <c r="SA5">
        <f>BDS("WSTL US Equity","SUPPLY_CHAIN_CUSTOMERS_FULL_DATA")</f>
        <v/>
      </c>
      <c r="SQ5">
        <f>BDS("HTH US Equity","SUPPLY_CHAIN_SUPPLIERS_FULL_DATA")</f>
        <v/>
      </c>
      <c r="TE5">
        <f>BDS("HTH US Equity","SUPPLY_CHAIN_CUSTOMERS_FULL_DATA")</f>
        <v/>
      </c>
      <c r="TU5">
        <f>BDS("FLWS US Equity","SUPPLY_CHAIN_SUPPLIERS_FULL_DATA")</f>
        <v/>
      </c>
      <c r="UI5">
        <f>BDS("FLWS US Equity","SUPPLY_CHAIN_CUSTOMERS_FULL_DATA")</f>
        <v/>
      </c>
      <c r="UY5">
        <f>BDS("CLRN US Equity","SUPPLY_CHAIN_SUPPLIERS_FULL_DATA")</f>
        <v/>
      </c>
      <c r="VM5">
        <f>BDS("CLRN US Equity","SUPPLY_CHAIN_CUSTOMERS_FULL_DATA")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2721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2722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2723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2724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2725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2726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2727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2728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2729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2730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2731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2732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2733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2734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2735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2736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2737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2738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2739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2740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BSX US Equity</t>
        </is>
      </c>
      <c r="AE2" s="3" t="inlineStr">
        <is>
          <t>FHB US Equity</t>
        </is>
      </c>
      <c r="BI2" s="3" t="inlineStr">
        <is>
          <t>NOVL US Equity</t>
        </is>
      </c>
      <c r="CM2" s="3" t="inlineStr">
        <is>
          <t>WFRD US Equity</t>
        </is>
      </c>
      <c r="DQ2" s="3" t="inlineStr">
        <is>
          <t>INAPQ US Equity</t>
        </is>
      </c>
      <c r="EU2" s="3" t="inlineStr">
        <is>
          <t>KLIC US Equity</t>
        </is>
      </c>
      <c r="FY2" s="3" t="inlineStr">
        <is>
          <t>HCKT US Equity</t>
        </is>
      </c>
      <c r="HC2" s="3" t="inlineStr">
        <is>
          <t>540513Q US Equity</t>
        </is>
      </c>
      <c r="IG2" s="3" t="inlineStr">
        <is>
          <t>ANDX US Equity</t>
        </is>
      </c>
      <c r="JK2" s="3" t="inlineStr">
        <is>
          <t>JLG US Equity</t>
        </is>
      </c>
      <c r="KO2" s="3" t="inlineStr">
        <is>
          <t>PRA US Equity</t>
        </is>
      </c>
      <c r="LS2" s="3" t="inlineStr">
        <is>
          <t>9996201D US Equity</t>
        </is>
      </c>
      <c r="MW2" s="3" t="inlineStr">
        <is>
          <t>ASFZ US Equity</t>
        </is>
      </c>
      <c r="OA2" s="3" t="inlineStr">
        <is>
          <t>0758969D US Equity</t>
        </is>
      </c>
      <c r="PE2" s="3" t="inlineStr">
        <is>
          <t>SRZ US Equity</t>
        </is>
      </c>
      <c r="QI2" s="3" t="inlineStr">
        <is>
          <t>MFE US Equity</t>
        </is>
      </c>
      <c r="RM2" s="3" t="inlineStr">
        <is>
          <t>534689Q US Equity</t>
        </is>
      </c>
      <c r="SQ2" s="3" t="inlineStr">
        <is>
          <t>ADSK US Equity</t>
        </is>
      </c>
      <c r="TU2" s="3" t="inlineStr">
        <is>
          <t>DMLP US Equity</t>
        </is>
      </c>
      <c r="UY2" s="3" t="inlineStr">
        <is>
          <t>BCR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BDS("BSX US Equity","SUPPLY_CHAIN_SUPPLIERS_FULL_DATA")</f>
        <v/>
      </c>
      <c r="O5">
        <f>BDS("BSX US Equity","SUPPLY_CHAIN_CUSTOMERS_FULL_DATA")</f>
        <v/>
      </c>
      <c r="AE5">
        <f>BDS("FHB US Equity","SUPPLY_CHAIN_SUPPLIERS_FULL_DATA")</f>
        <v/>
      </c>
      <c r="AS5">
        <f>BDS("FHB US Equity","SUPPLY_CHAIN_CUSTOMERS_FULL_DATA")</f>
        <v/>
      </c>
      <c r="BI5">
        <f>BDS("NOVL US Equity","SUPPLY_CHAIN_SUPPLIERS_FULL_DATA")</f>
        <v/>
      </c>
      <c r="BW5">
        <f>BDS("NOVL US Equity","SUPPLY_CHAIN_CUSTOMERS_FULL_DATA")</f>
        <v/>
      </c>
      <c r="CM5">
        <f>BDS("WFRD US Equity","SUPPLY_CHAIN_SUPPLIERS_FULL_DATA")</f>
        <v/>
      </c>
      <c r="DA5">
        <f>BDS("WFRD US Equity","SUPPLY_CHAIN_CUSTOMERS_FULL_DATA")</f>
        <v/>
      </c>
      <c r="DQ5">
        <f>BDS("INAPQ US Equity","SUPPLY_CHAIN_SUPPLIERS_FULL_DATA")</f>
        <v/>
      </c>
      <c r="EE5">
        <f>BDS("INAPQ US Equity","SUPPLY_CHAIN_CUSTOMERS_FULL_DATA")</f>
        <v/>
      </c>
      <c r="EU5">
        <f>BDS("KLIC US Equity","SUPPLY_CHAIN_SUPPLIERS_FULL_DATA")</f>
        <v/>
      </c>
      <c r="FI5">
        <f>BDS("KLIC US Equity","SUPPLY_CHAIN_CUSTOMERS_FULL_DATA")</f>
        <v/>
      </c>
      <c r="FY5">
        <f>BDS("HCKT US Equity","SUPPLY_CHAIN_SUPPLIERS_FULL_DATA")</f>
        <v/>
      </c>
      <c r="GM5">
        <f>BDS("HCKT US Equity","SUPPLY_CHAIN_CUSTOMERS_FULL_DATA")</f>
        <v/>
      </c>
      <c r="HC5">
        <f>BDS("540513Q US Equity","SUPPLY_CHAIN_SUPPLIERS_FULL_DATA")</f>
        <v/>
      </c>
      <c r="HQ5">
        <f>BDS("540513Q US Equity","SUPPLY_CHAIN_CUSTOMERS_FULL_DATA")</f>
        <v/>
      </c>
      <c r="IG5">
        <f>BDS("ANDX US Equity","SUPPLY_CHAIN_SUPPLIERS_FULL_DATA")</f>
        <v/>
      </c>
      <c r="IU5">
        <f>BDS("ANDX US Equity","SUPPLY_CHAIN_CUSTOMERS_FULL_DATA")</f>
        <v/>
      </c>
      <c r="JK5">
        <f>BDS("JLG US Equity","SUPPLY_CHAIN_SUPPLIERS_FULL_DATA")</f>
        <v/>
      </c>
      <c r="JY5">
        <f>BDS("JLG US Equity","SUPPLY_CHAIN_CUSTOMERS_FULL_DATA")</f>
        <v/>
      </c>
      <c r="KO5">
        <f>BDS("PRA US Equity","SUPPLY_CHAIN_SUPPLIERS_FULL_DATA")</f>
        <v/>
      </c>
      <c r="LC5">
        <f>BDS("PRA US Equity","SUPPLY_CHAIN_CUSTOMERS_FULL_DATA")</f>
        <v/>
      </c>
      <c r="LS5">
        <f>BDS("9996201D US Equity","SUPPLY_CHAIN_SUPPLIERS_FULL_DATA")</f>
        <v/>
      </c>
      <c r="MG5">
        <f>BDS("9996201D US Equity","SUPPLY_CHAIN_CUSTOMERS_FULL_DATA")</f>
        <v/>
      </c>
      <c r="MW5">
        <f>BDS("ASFZ US Equity","SUPPLY_CHAIN_SUPPLIERS_FULL_DATA")</f>
        <v/>
      </c>
      <c r="NK5">
        <f>BDS("ASFZ US Equity","SUPPLY_CHAIN_CUSTOMERS_FULL_DATA")</f>
        <v/>
      </c>
      <c r="OA5">
        <f>BDS("0758969D US Equity","SUPPLY_CHAIN_SUPPLIERS_FULL_DATA")</f>
        <v/>
      </c>
      <c r="OO5">
        <f>BDS("0758969D US Equity","SUPPLY_CHAIN_CUSTOMERS_FULL_DATA")</f>
        <v/>
      </c>
      <c r="PE5">
        <f>BDS("SRZ US Equity","SUPPLY_CHAIN_SUPPLIERS_FULL_DATA")</f>
        <v/>
      </c>
      <c r="PS5">
        <f>BDS("SRZ US Equity","SUPPLY_CHAIN_CUSTOMERS_FULL_DATA")</f>
        <v/>
      </c>
      <c r="QI5">
        <f>BDS("MFE US Equity","SUPPLY_CHAIN_SUPPLIERS_FULL_DATA")</f>
        <v/>
      </c>
      <c r="QW5">
        <f>BDS("MFE US Equity","SUPPLY_CHAIN_CUSTOMERS_FULL_DATA")</f>
        <v/>
      </c>
      <c r="RM5">
        <f>BDS("534689Q US Equity","SUPPLY_CHAIN_SUPPLIERS_FULL_DATA")</f>
        <v/>
      </c>
      <c r="SA5">
        <f>BDS("534689Q US Equity","SUPPLY_CHAIN_CUSTOMERS_FULL_DATA")</f>
        <v/>
      </c>
      <c r="SQ5">
        <f>BDS("ADSK US Equity","SUPPLY_CHAIN_SUPPLIERS_FULL_DATA")</f>
        <v/>
      </c>
      <c r="TE5">
        <f>BDS("ADSK US Equity","SUPPLY_CHAIN_CUSTOMERS_FULL_DATA")</f>
        <v/>
      </c>
      <c r="TU5">
        <f>BDS("DMLP US Equity","SUPPLY_CHAIN_SUPPLIERS_FULL_DATA")</f>
        <v/>
      </c>
      <c r="UI5">
        <f>BDS("DMLP US Equity","SUPPLY_CHAIN_CUSTOMERS_FULL_DATA")</f>
        <v/>
      </c>
      <c r="UY5">
        <f>BDS("BCR US Equity","SUPPLY_CHAIN_SUPPLIERS_FULL_DATA")</f>
        <v/>
      </c>
      <c r="VM5">
        <f>BDS("BCR US Equity","SUPPLY_CHAIN_CUSTOMERS_FULL_DATA")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2741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2742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2743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2744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2745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2746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2747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2748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2749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2750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2751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2752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2753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2754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2755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2756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2757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2758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2759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2760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CYNO US Equity</t>
        </is>
      </c>
      <c r="AE2" s="3" t="inlineStr">
        <is>
          <t>3546Q US Equity</t>
        </is>
      </c>
      <c r="BI2" s="3" t="inlineStr">
        <is>
          <t>ASB US Equity</t>
        </is>
      </c>
      <c r="CM2" s="3" t="inlineStr">
        <is>
          <t>nan Equity</t>
        </is>
      </c>
      <c r="DQ2" s="3" t="inlineStr">
        <is>
          <t>GON US Equity</t>
        </is>
      </c>
      <c r="EU2" s="3" t="inlineStr">
        <is>
          <t>UFCS US Equity</t>
        </is>
      </c>
      <c r="FY2" s="3" t="inlineStr">
        <is>
          <t>ELAN US Equity</t>
        </is>
      </c>
      <c r="HC2" s="3" t="inlineStr">
        <is>
          <t>1642488D US Equity</t>
        </is>
      </c>
      <c r="IG2" s="3" t="inlineStr">
        <is>
          <t>653707Q US Equity</t>
        </is>
      </c>
      <c r="JK2" s="3" t="inlineStr">
        <is>
          <t>MIMOQ US Equity</t>
        </is>
      </c>
      <c r="KO2" s="3" t="inlineStr">
        <is>
          <t>BBT US Equity</t>
        </is>
      </c>
      <c r="LS2" s="3" t="inlineStr">
        <is>
          <t>WFC US Equity</t>
        </is>
      </c>
      <c r="MW2" s="3" t="inlineStr">
        <is>
          <t>TYG US Equity</t>
        </is>
      </c>
      <c r="OA2" s="3" t="inlineStr">
        <is>
          <t>CAZA US Equity</t>
        </is>
      </c>
      <c r="PE2" s="3" t="inlineStr">
        <is>
          <t>BAGL US Equity</t>
        </is>
      </c>
      <c r="QI2" s="3" t="inlineStr">
        <is>
          <t>FLG US Equity</t>
        </is>
      </c>
      <c r="RM2" s="3" t="inlineStr">
        <is>
          <t>1477687D US Equity</t>
        </is>
      </c>
      <c r="SQ2" s="3" t="inlineStr">
        <is>
          <t>PARA US Equity</t>
        </is>
      </c>
      <c r="TU2" s="3" t="inlineStr">
        <is>
          <t>KEY US Equity</t>
        </is>
      </c>
      <c r="UY2" s="3" t="inlineStr">
        <is>
          <t>IDTI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BDS("CYNO US Equity","SUPPLY_CHAIN_SUPPLIERS_FULL_DATA")</f>
        <v/>
      </c>
      <c r="O5">
        <f>BDS("CYNO US Equity","SUPPLY_CHAIN_CUSTOMERS_FULL_DATA")</f>
        <v/>
      </c>
      <c r="AE5">
        <f>BDS("3546Q US Equity","SUPPLY_CHAIN_SUPPLIERS_FULL_DATA")</f>
        <v/>
      </c>
      <c r="AS5">
        <f>BDS("3546Q US Equity","SUPPLY_CHAIN_CUSTOMERS_FULL_DATA")</f>
        <v/>
      </c>
      <c r="BI5">
        <f>BDS("ASB US Equity","SUPPLY_CHAIN_SUPPLIERS_FULL_DATA")</f>
        <v/>
      </c>
      <c r="BW5">
        <f>BDS("ASB US Equity","SUPPLY_CHAIN_CUSTOMERS_FULL_DATA")</f>
        <v/>
      </c>
      <c r="CM5">
        <f>BDS("nan Equity","SUPPLY_CHAIN_SUPPLIERS_FULL_DATA")</f>
        <v/>
      </c>
      <c r="DA5">
        <f>BDS("nan Equity","SUPPLY_CHAIN_CUSTOMERS_FULL_DATA")</f>
        <v/>
      </c>
      <c r="DQ5">
        <f>BDS("GON US Equity","SUPPLY_CHAIN_SUPPLIERS_FULL_DATA")</f>
        <v/>
      </c>
      <c r="EE5">
        <f>BDS("GON US Equity","SUPPLY_CHAIN_CUSTOMERS_FULL_DATA")</f>
        <v/>
      </c>
      <c r="EU5">
        <f>BDS("UFCS US Equity","SUPPLY_CHAIN_SUPPLIERS_FULL_DATA")</f>
        <v/>
      </c>
      <c r="FI5">
        <f>BDS("UFCS US Equity","SUPPLY_CHAIN_CUSTOMERS_FULL_DATA")</f>
        <v/>
      </c>
      <c r="FY5">
        <f>BDS("ELAN US Equity","SUPPLY_CHAIN_SUPPLIERS_FULL_DATA")</f>
        <v/>
      </c>
      <c r="GM5">
        <f>BDS("ELAN US Equity","SUPPLY_CHAIN_CUSTOMERS_FULL_DATA")</f>
        <v/>
      </c>
      <c r="HC5">
        <f>BDS("1642488D US Equity","SUPPLY_CHAIN_SUPPLIERS_FULL_DATA")</f>
        <v/>
      </c>
      <c r="HQ5">
        <f>BDS("1642488D US Equity","SUPPLY_CHAIN_CUSTOMERS_FULL_DATA")</f>
        <v/>
      </c>
      <c r="IG5">
        <f>BDS("653707Q US Equity","SUPPLY_CHAIN_SUPPLIERS_FULL_DATA")</f>
        <v/>
      </c>
      <c r="IU5">
        <f>BDS("653707Q US Equity","SUPPLY_CHAIN_CUSTOMERS_FULL_DATA")</f>
        <v/>
      </c>
      <c r="JK5">
        <f>BDS("MIMOQ US Equity","SUPPLY_CHAIN_SUPPLIERS_FULL_DATA")</f>
        <v/>
      </c>
      <c r="JY5">
        <f>BDS("MIMOQ US Equity","SUPPLY_CHAIN_CUSTOMERS_FULL_DATA")</f>
        <v/>
      </c>
      <c r="KO5">
        <f>BDS("BBT US Equity","SUPPLY_CHAIN_SUPPLIERS_FULL_DATA")</f>
        <v/>
      </c>
      <c r="LC5">
        <f>BDS("BBT US Equity","SUPPLY_CHAIN_CUSTOMERS_FULL_DATA")</f>
        <v/>
      </c>
      <c r="LS5">
        <f>BDS("WFC US Equity","SUPPLY_CHAIN_SUPPLIERS_FULL_DATA")</f>
        <v/>
      </c>
      <c r="MG5">
        <f>BDS("WFC US Equity","SUPPLY_CHAIN_CUSTOMERS_FULL_DATA")</f>
        <v/>
      </c>
      <c r="MW5">
        <f>BDS("TYG US Equity","SUPPLY_CHAIN_SUPPLIERS_FULL_DATA")</f>
        <v/>
      </c>
      <c r="NK5">
        <f>BDS("TYG US Equity","SUPPLY_CHAIN_CUSTOMERS_FULL_DATA")</f>
        <v/>
      </c>
      <c r="OA5">
        <f>BDS("CAZA US Equity","SUPPLY_CHAIN_SUPPLIERS_FULL_DATA")</f>
        <v/>
      </c>
      <c r="OO5">
        <f>BDS("CAZA US Equity","SUPPLY_CHAIN_CUSTOMERS_FULL_DATA")</f>
        <v/>
      </c>
      <c r="PE5">
        <f>BDS("BAGL US Equity","SUPPLY_CHAIN_SUPPLIERS_FULL_DATA")</f>
        <v/>
      </c>
      <c r="PS5">
        <f>BDS("BAGL US Equity","SUPPLY_CHAIN_CUSTOMERS_FULL_DATA")</f>
        <v/>
      </c>
      <c r="QI5">
        <f>BDS("FLG US Equity","SUPPLY_CHAIN_SUPPLIERS_FULL_DATA")</f>
        <v/>
      </c>
      <c r="QW5">
        <f>BDS("FLG US Equity","SUPPLY_CHAIN_CUSTOMERS_FULL_DATA")</f>
        <v/>
      </c>
      <c r="RM5">
        <f>BDS("1477687D US Equity","SUPPLY_CHAIN_SUPPLIERS_FULL_DATA")</f>
        <v/>
      </c>
      <c r="SA5">
        <f>BDS("1477687D US Equity","SUPPLY_CHAIN_CUSTOMERS_FULL_DATA")</f>
        <v/>
      </c>
      <c r="SQ5">
        <f>BDS("PARA US Equity","SUPPLY_CHAIN_SUPPLIERS_FULL_DATA")</f>
        <v/>
      </c>
      <c r="TE5">
        <f>BDS("PARA US Equity","SUPPLY_CHAIN_CUSTOMERS_FULL_DATA")</f>
        <v/>
      </c>
      <c r="TU5">
        <f>BDS("KEY US Equity","SUPPLY_CHAIN_SUPPLIERS_FULL_DATA")</f>
        <v/>
      </c>
      <c r="UI5">
        <f>BDS("KEY US Equity","SUPPLY_CHAIN_CUSTOMERS_FULL_DATA")</f>
        <v/>
      </c>
      <c r="UY5">
        <f>BDS("IDTI US Equity","SUPPLY_CHAIN_SUPPLIERS_FULL_DATA")</f>
        <v/>
      </c>
      <c r="VM5">
        <f>BDS("IDTI US Equity","SUPPLY_CHAIN_CUSTOMERS_FULL_DATA")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2761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2762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2763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2764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2765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2766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2767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2768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2769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2770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2771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2772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2773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2774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2775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2776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2777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2778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2779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2780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COV US Equity</t>
        </is>
      </c>
      <c r="AE2" s="3" t="inlineStr">
        <is>
          <t>AN US Equity</t>
        </is>
      </c>
      <c r="BI2" s="3" t="inlineStr">
        <is>
          <t>BAX US Equity</t>
        </is>
      </c>
      <c r="CM2" s="3" t="inlineStr">
        <is>
          <t>WAFD US Equity</t>
        </is>
      </c>
      <c r="DQ2" s="3" t="inlineStr">
        <is>
          <t>SNIC US Equity</t>
        </is>
      </c>
      <c r="EU2" s="3" t="inlineStr">
        <is>
          <t>SYK US Equity</t>
        </is>
      </c>
      <c r="FY2" s="3" t="inlineStr">
        <is>
          <t>WDC US Equity</t>
        </is>
      </c>
      <c r="HC2" s="3" t="inlineStr">
        <is>
          <t>GBBK US Equity</t>
        </is>
      </c>
      <c r="IG2" s="3" t="inlineStr">
        <is>
          <t>nan Equity</t>
        </is>
      </c>
      <c r="JK2" s="3" t="inlineStr">
        <is>
          <t>WFC US Equity</t>
        </is>
      </c>
      <c r="KO2" s="3" t="inlineStr">
        <is>
          <t>JEF US Equity</t>
        </is>
      </c>
      <c r="LS2" s="3" t="inlineStr">
        <is>
          <t>2898Q US Equity</t>
        </is>
      </c>
      <c r="MW2" s="3" t="inlineStr">
        <is>
          <t>QTWWQ US Equity</t>
        </is>
      </c>
      <c r="OA2" s="3" t="inlineStr">
        <is>
          <t>4107485Q US Equity</t>
        </is>
      </c>
      <c r="PE2" s="3" t="inlineStr">
        <is>
          <t>RHP US Equity</t>
        </is>
      </c>
      <c r="QI2" s="3" t="inlineStr">
        <is>
          <t>TMO US Equity</t>
        </is>
      </c>
      <c r="RM2" s="3" t="inlineStr">
        <is>
          <t>DFIB US Equity</t>
        </is>
      </c>
      <c r="SQ2" s="3" t="inlineStr">
        <is>
          <t>AHMH US Equity</t>
        </is>
      </c>
      <c r="TU2" s="3" t="inlineStr">
        <is>
          <t>HTBK US Equity</t>
        </is>
      </c>
      <c r="UY2" s="3" t="inlineStr">
        <is>
          <t>BATL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BDS("COV US Equity","SUPPLY_CHAIN_SUPPLIERS_FULL_DATA")</f>
        <v/>
      </c>
      <c r="O5">
        <f>BDS("COV US Equity","SUPPLY_CHAIN_CUSTOMERS_FULL_DATA")</f>
        <v/>
      </c>
      <c r="AE5">
        <f>BDS("AN US Equity","SUPPLY_CHAIN_SUPPLIERS_FULL_DATA")</f>
        <v/>
      </c>
      <c r="AS5">
        <f>BDS("AN US Equity","SUPPLY_CHAIN_CUSTOMERS_FULL_DATA")</f>
        <v/>
      </c>
      <c r="BI5">
        <f>BDS("BAX US Equity","SUPPLY_CHAIN_SUPPLIERS_FULL_DATA")</f>
        <v/>
      </c>
      <c r="BW5">
        <f>BDS("BAX US Equity","SUPPLY_CHAIN_CUSTOMERS_FULL_DATA")</f>
        <v/>
      </c>
      <c r="CM5">
        <f>BDS("WAFD US Equity","SUPPLY_CHAIN_SUPPLIERS_FULL_DATA")</f>
        <v/>
      </c>
      <c r="DA5">
        <f>BDS("WAFD US Equity","SUPPLY_CHAIN_CUSTOMERS_FULL_DATA")</f>
        <v/>
      </c>
      <c r="DQ5">
        <f>BDS("SNIC US Equity","SUPPLY_CHAIN_SUPPLIERS_FULL_DATA")</f>
        <v/>
      </c>
      <c r="EE5">
        <f>BDS("SNIC US Equity","SUPPLY_CHAIN_CUSTOMERS_FULL_DATA")</f>
        <v/>
      </c>
      <c r="EU5">
        <f>BDS("SYK US Equity","SUPPLY_CHAIN_SUPPLIERS_FULL_DATA")</f>
        <v/>
      </c>
      <c r="FI5">
        <f>BDS("SYK US Equity","SUPPLY_CHAIN_CUSTOMERS_FULL_DATA")</f>
        <v/>
      </c>
      <c r="FY5">
        <f>BDS("WDC US Equity","SUPPLY_CHAIN_SUPPLIERS_FULL_DATA")</f>
        <v/>
      </c>
      <c r="GM5">
        <f>BDS("WDC US Equity","SUPPLY_CHAIN_CUSTOMERS_FULL_DATA")</f>
        <v/>
      </c>
      <c r="HC5">
        <f>BDS("GBBK US Equity","SUPPLY_CHAIN_SUPPLIERS_FULL_DATA")</f>
        <v/>
      </c>
      <c r="HQ5">
        <f>BDS("GBBK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BDS("WFC US Equity","SUPPLY_CHAIN_SUPPLIERS_FULL_DATA")</f>
        <v/>
      </c>
      <c r="JY5">
        <f>BDS("WFC US Equity","SUPPLY_CHAIN_CUSTOMERS_FULL_DATA")</f>
        <v/>
      </c>
      <c r="KO5">
        <f>BDS("JEF US Equity","SUPPLY_CHAIN_SUPPLIERS_FULL_DATA")</f>
        <v/>
      </c>
      <c r="LC5">
        <f>BDS("JEF US Equity","SUPPLY_CHAIN_CUSTOMERS_FULL_DATA")</f>
        <v/>
      </c>
      <c r="LS5">
        <f>BDS("2898Q US Equity","SUPPLY_CHAIN_SUPPLIERS_FULL_DATA")</f>
        <v/>
      </c>
      <c r="MG5">
        <f>BDS("2898Q US Equity","SUPPLY_CHAIN_CUSTOMERS_FULL_DATA")</f>
        <v/>
      </c>
      <c r="MW5">
        <f>BDS("QTWWQ US Equity","SUPPLY_CHAIN_SUPPLIERS_FULL_DATA")</f>
        <v/>
      </c>
      <c r="NK5">
        <f>BDS("QTWWQ US Equity","SUPPLY_CHAIN_CUSTOMERS_FULL_DATA")</f>
        <v/>
      </c>
      <c r="OA5">
        <f>BDS("4107485Q US Equity","SUPPLY_CHAIN_SUPPLIERS_FULL_DATA")</f>
        <v/>
      </c>
      <c r="OO5">
        <f>BDS("4107485Q US Equity","SUPPLY_CHAIN_CUSTOMERS_FULL_DATA")</f>
        <v/>
      </c>
      <c r="PE5">
        <f>BDS("RHP US Equity","SUPPLY_CHAIN_SUPPLIERS_FULL_DATA")</f>
        <v/>
      </c>
      <c r="PS5">
        <f>BDS("RHP US Equity","SUPPLY_CHAIN_CUSTOMERS_FULL_DATA")</f>
        <v/>
      </c>
      <c r="QI5">
        <f>BDS("TMO US Equity","SUPPLY_CHAIN_SUPPLIERS_FULL_DATA")</f>
        <v/>
      </c>
      <c r="QW5">
        <f>BDS("TMO US Equity","SUPPLY_CHAIN_CUSTOMERS_FULL_DATA")</f>
        <v/>
      </c>
      <c r="RM5">
        <f>BDS("DFIB US Equity","SUPPLY_CHAIN_SUPPLIERS_FULL_DATA")</f>
        <v/>
      </c>
      <c r="SA5">
        <f>BDS("DFIB US Equity","SUPPLY_CHAIN_CUSTOMERS_FULL_DATA")</f>
        <v/>
      </c>
      <c r="SQ5">
        <f>BDS("AHMH US Equity","SUPPLY_CHAIN_SUPPLIERS_FULL_DATA")</f>
        <v/>
      </c>
      <c r="TE5">
        <f>BDS("AHMH US Equity","SUPPLY_CHAIN_CUSTOMERS_FULL_DATA")</f>
        <v/>
      </c>
      <c r="TU5">
        <f>BDS("HTBK US Equity","SUPPLY_CHAIN_SUPPLIERS_FULL_DATA")</f>
        <v/>
      </c>
      <c r="UI5">
        <f>BDS("HTBK US Equity","SUPPLY_CHAIN_CUSTOMERS_FULL_DATA")</f>
        <v/>
      </c>
      <c r="UY5">
        <f>BDS("BATL US Equity","SUPPLY_CHAIN_SUPPLIERS_FULL_DATA")</f>
        <v/>
      </c>
      <c r="VM5">
        <f>BDS("BATL US Equity","SUPPLY_CHAIN_CUSTOMERS_FULL_DATA")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2781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2782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2783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2784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2785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2786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2787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2788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2789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2790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2791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2792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2793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2794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2795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2796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2797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2798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2799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2800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3017264Q US Equity</t>
        </is>
      </c>
      <c r="AE2" s="3" t="inlineStr">
        <is>
          <t>COF US Equity</t>
        </is>
      </c>
      <c r="BI2" s="3" t="inlineStr">
        <is>
          <t>OK US Equity</t>
        </is>
      </c>
      <c r="CM2" s="3" t="inlineStr">
        <is>
          <t>FIBK US Equity</t>
        </is>
      </c>
      <c r="DQ2" s="3" t="inlineStr">
        <is>
          <t>NWBI US Equity</t>
        </is>
      </c>
      <c r="EU2" s="3" t="inlineStr">
        <is>
          <t>FCF US Equity</t>
        </is>
      </c>
      <c r="FY2" s="3" t="inlineStr">
        <is>
          <t>nan Equity</t>
        </is>
      </c>
      <c r="HC2" s="3" t="inlineStr">
        <is>
          <t>EGBN US Equity</t>
        </is>
      </c>
      <c r="IG2" s="3" t="inlineStr">
        <is>
          <t>FMER US Equity</t>
        </is>
      </c>
      <c r="JK2" s="3" t="inlineStr">
        <is>
          <t>COWN US Equity</t>
        </is>
      </c>
      <c r="KO2" s="3" t="inlineStr">
        <is>
          <t>HU US Equity</t>
        </is>
      </c>
      <c r="LS2" s="3" t="inlineStr">
        <is>
          <t>OSIS US Equity</t>
        </is>
      </c>
      <c r="MW2" s="3" t="inlineStr">
        <is>
          <t>BOBE US Equity</t>
        </is>
      </c>
      <c r="OA2" s="3" t="inlineStr">
        <is>
          <t>MKL US Equity</t>
        </is>
      </c>
      <c r="PE2" s="3" t="inlineStr">
        <is>
          <t>SSB US Equity</t>
        </is>
      </c>
      <c r="QI2" s="3" t="inlineStr">
        <is>
          <t>STBA US Equity</t>
        </is>
      </c>
      <c r="RM2" s="3" t="inlineStr">
        <is>
          <t>CNVR US Equity</t>
        </is>
      </c>
      <c r="SQ2" s="3" t="inlineStr">
        <is>
          <t>NCC US Equity</t>
        </is>
      </c>
      <c r="TU2" s="3" t="inlineStr">
        <is>
          <t>DNA US Equity</t>
        </is>
      </c>
      <c r="UY2" s="3" t="inlineStr">
        <is>
          <t>TCBK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BDS("3017264Q US Equity","SUPPLY_CHAIN_SUPPLIERS_FULL_DATA")</f>
        <v/>
      </c>
      <c r="O5">
        <f>BDS("3017264Q US Equity","SUPPLY_CHAIN_CUSTOMERS_FULL_DATA")</f>
        <v/>
      </c>
      <c r="AE5">
        <f>BDS("COF US Equity","SUPPLY_CHAIN_SUPPLIERS_FULL_DATA")</f>
        <v/>
      </c>
      <c r="AS5">
        <f>BDS("COF US Equity","SUPPLY_CHAIN_CUSTOMERS_FULL_DATA")</f>
        <v/>
      </c>
      <c r="BI5">
        <f>BDS("OK US Equity","SUPPLY_CHAIN_SUPPLIERS_FULL_DATA")</f>
        <v/>
      </c>
      <c r="BW5">
        <f>BDS("OK US Equity","SUPPLY_CHAIN_CUSTOMERS_FULL_DATA")</f>
        <v/>
      </c>
      <c r="CM5">
        <f>BDS("FIBK US Equity","SUPPLY_CHAIN_SUPPLIERS_FULL_DATA")</f>
        <v/>
      </c>
      <c r="DA5">
        <f>BDS("FIBK US Equity","SUPPLY_CHAIN_CUSTOMERS_FULL_DATA")</f>
        <v/>
      </c>
      <c r="DQ5">
        <f>BDS("NWBI US Equity","SUPPLY_CHAIN_SUPPLIERS_FULL_DATA")</f>
        <v/>
      </c>
      <c r="EE5">
        <f>BDS("NWBI US Equity","SUPPLY_CHAIN_CUSTOMERS_FULL_DATA")</f>
        <v/>
      </c>
      <c r="EU5">
        <f>BDS("FCF US Equity","SUPPLY_CHAIN_SUPPLIERS_FULL_DATA")</f>
        <v/>
      </c>
      <c r="FI5">
        <f>BDS("FCF US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BDS("EGBN US Equity","SUPPLY_CHAIN_SUPPLIERS_FULL_DATA")</f>
        <v/>
      </c>
      <c r="HQ5">
        <f>BDS("EGBN US Equity","SUPPLY_CHAIN_CUSTOMERS_FULL_DATA")</f>
        <v/>
      </c>
      <c r="IG5">
        <f>BDS("FMER US Equity","SUPPLY_CHAIN_SUPPLIERS_FULL_DATA")</f>
        <v/>
      </c>
      <c r="IU5">
        <f>BDS("FMER US Equity","SUPPLY_CHAIN_CUSTOMERS_FULL_DATA")</f>
        <v/>
      </c>
      <c r="JK5">
        <f>BDS("COWN US Equity","SUPPLY_CHAIN_SUPPLIERS_FULL_DATA")</f>
        <v/>
      </c>
      <c r="JY5">
        <f>BDS("COWN US Equity","SUPPLY_CHAIN_CUSTOMERS_FULL_DATA")</f>
        <v/>
      </c>
      <c r="KO5">
        <f>BDS("HU US Equity","SUPPLY_CHAIN_SUPPLIERS_FULL_DATA")</f>
        <v/>
      </c>
      <c r="LC5">
        <f>BDS("HU US Equity","SUPPLY_CHAIN_CUSTOMERS_FULL_DATA")</f>
        <v/>
      </c>
      <c r="LS5">
        <f>BDS("OSIS US Equity","SUPPLY_CHAIN_SUPPLIERS_FULL_DATA")</f>
        <v/>
      </c>
      <c r="MG5">
        <f>BDS("OSIS US Equity","SUPPLY_CHAIN_CUSTOMERS_FULL_DATA")</f>
        <v/>
      </c>
      <c r="MW5">
        <f>BDS("BOBE US Equity","SUPPLY_CHAIN_SUPPLIERS_FULL_DATA")</f>
        <v/>
      </c>
      <c r="NK5">
        <f>BDS("BOBE US Equity","SUPPLY_CHAIN_CUSTOMERS_FULL_DATA")</f>
        <v/>
      </c>
      <c r="OA5">
        <f>BDS("MKL US Equity","SUPPLY_CHAIN_SUPPLIERS_FULL_DATA")</f>
        <v/>
      </c>
      <c r="OO5">
        <f>BDS("MKL US Equity","SUPPLY_CHAIN_CUSTOMERS_FULL_DATA")</f>
        <v/>
      </c>
      <c r="PE5">
        <f>BDS("SSB US Equity","SUPPLY_CHAIN_SUPPLIERS_FULL_DATA")</f>
        <v/>
      </c>
      <c r="PS5">
        <f>BDS("SSB US Equity","SUPPLY_CHAIN_CUSTOMERS_FULL_DATA")</f>
        <v/>
      </c>
      <c r="QI5">
        <f>BDS("STBA US Equity","SUPPLY_CHAIN_SUPPLIERS_FULL_DATA")</f>
        <v/>
      </c>
      <c r="QW5">
        <f>BDS("STBA US Equity","SUPPLY_CHAIN_CUSTOMERS_FULL_DATA")</f>
        <v/>
      </c>
      <c r="RM5">
        <f>BDS("CNVR US Equity","SUPPLY_CHAIN_SUPPLIERS_FULL_DATA")</f>
        <v/>
      </c>
      <c r="SA5">
        <f>BDS("CNVR US Equity","SUPPLY_CHAIN_CUSTOMERS_FULL_DATA")</f>
        <v/>
      </c>
      <c r="SQ5">
        <f>BDS("NCC US Equity","SUPPLY_CHAIN_SUPPLIERS_FULL_DATA")</f>
        <v/>
      </c>
      <c r="TE5">
        <f>BDS("NCC US Equity","SUPPLY_CHAIN_CUSTOMERS_FULL_DATA")</f>
        <v/>
      </c>
      <c r="TU5">
        <f>BDS("DNA US Equity","SUPPLY_CHAIN_SUPPLIERS_FULL_DATA")</f>
        <v/>
      </c>
      <c r="UI5">
        <f>BDS("DNA US Equity","SUPPLY_CHAIN_CUSTOMERS_FULL_DATA")</f>
        <v/>
      </c>
      <c r="UY5">
        <f>BDS("TCBK US Equity","SUPPLY_CHAIN_SUPPLIERS_FULL_DATA")</f>
        <v/>
      </c>
      <c r="VM5">
        <f>BDS("TCBK US Equity","SUPPLY_CHAIN_CUSTOMERS_FULL_DATA")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2801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2802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2803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2804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2805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2806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2807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2808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2809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2810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2811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2812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2813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2814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2815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2816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2817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2818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2819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2820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XRIT US Equity</t>
        </is>
      </c>
      <c r="AE2" s="3" t="inlineStr">
        <is>
          <t>NUE US Equity</t>
        </is>
      </c>
      <c r="BI2" s="3" t="inlineStr">
        <is>
          <t>UCB US Equity</t>
        </is>
      </c>
      <c r="CM2" s="3" t="inlineStr">
        <is>
          <t>1850242D US Equity</t>
        </is>
      </c>
      <c r="DQ2" s="3" t="inlineStr">
        <is>
          <t>UBSN SW Equity</t>
        </is>
      </c>
      <c r="EU2" s="3" t="inlineStr">
        <is>
          <t>ELGXQ US Equity</t>
        </is>
      </c>
      <c r="FY2" s="3" t="inlineStr">
        <is>
          <t>SNPS US Equity</t>
        </is>
      </c>
      <c r="HC2" s="3" t="inlineStr">
        <is>
          <t>PFLT US Equity</t>
        </is>
      </c>
      <c r="IG2" s="3" t="inlineStr">
        <is>
          <t>62553Q US Equity</t>
        </is>
      </c>
      <c r="JK2" s="3" t="inlineStr">
        <is>
          <t>1986522D US Equity</t>
        </is>
      </c>
      <c r="KO2" s="3" t="inlineStr">
        <is>
          <t>2761917Q US Equity</t>
        </is>
      </c>
      <c r="LS2" s="3" t="inlineStr">
        <is>
          <t>OMEF US Equity</t>
        </is>
      </c>
      <c r="MW2" s="3" t="inlineStr">
        <is>
          <t>BMY US Equity</t>
        </is>
      </c>
      <c r="OA2" s="3" t="inlineStr">
        <is>
          <t>DE US Equity</t>
        </is>
      </c>
      <c r="PE2" s="3" t="inlineStr">
        <is>
          <t>MYL US Equity</t>
        </is>
      </c>
      <c r="QI2" s="3" t="inlineStr">
        <is>
          <t>FULT US Equity</t>
        </is>
      </c>
      <c r="RM2" s="3" t="inlineStr">
        <is>
          <t>WBS US Equity</t>
        </is>
      </c>
      <c r="SQ2" s="3" t="inlineStr">
        <is>
          <t>SLRC US Equity</t>
        </is>
      </c>
      <c r="TU2" s="3" t="inlineStr">
        <is>
          <t>BRK/A US Equity</t>
        </is>
      </c>
      <c r="UY2" s="3" t="inlineStr">
        <is>
          <t>CAH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BDS("XRIT US Equity","SUPPLY_CHAIN_SUPPLIERS_FULL_DATA")</f>
        <v/>
      </c>
      <c r="O5">
        <f>BDS("XRIT US Equity","SUPPLY_CHAIN_CUSTOMERS_FULL_DATA")</f>
        <v/>
      </c>
      <c r="AE5">
        <f>BDS("NUE US Equity","SUPPLY_CHAIN_SUPPLIERS_FULL_DATA")</f>
        <v/>
      </c>
      <c r="AS5">
        <f>BDS("NUE US Equity","SUPPLY_CHAIN_CUSTOMERS_FULL_DATA")</f>
        <v/>
      </c>
      <c r="BI5">
        <f>BDS("UCB US Equity","SUPPLY_CHAIN_SUPPLIERS_FULL_DATA")</f>
        <v/>
      </c>
      <c r="BW5">
        <f>BDS("UCB US Equity","SUPPLY_CHAIN_CUSTOMERS_FULL_DATA")</f>
        <v/>
      </c>
      <c r="CM5">
        <f>BDS("1850242D US Equity","SUPPLY_CHAIN_SUPPLIERS_FULL_DATA")</f>
        <v/>
      </c>
      <c r="DA5">
        <f>BDS("1850242D US Equity","SUPPLY_CHAIN_CUSTOMERS_FULL_DATA")</f>
        <v/>
      </c>
      <c r="DQ5">
        <f>BDS("UBSN SW Equity","SUPPLY_CHAIN_SUPPLIERS_FULL_DATA")</f>
        <v/>
      </c>
      <c r="EE5">
        <f>BDS("UBSN SW Equity","SUPPLY_CHAIN_CUSTOMERS_FULL_DATA")</f>
        <v/>
      </c>
      <c r="EU5">
        <f>BDS("ELGXQ US Equity","SUPPLY_CHAIN_SUPPLIERS_FULL_DATA")</f>
        <v/>
      </c>
      <c r="FI5">
        <f>BDS("ELGXQ US Equity","SUPPLY_CHAIN_CUSTOMERS_FULL_DATA")</f>
        <v/>
      </c>
      <c r="FY5">
        <f>BDS("SNPS US Equity","SUPPLY_CHAIN_SUPPLIERS_FULL_DATA")</f>
        <v/>
      </c>
      <c r="GM5">
        <f>BDS("SNPS US Equity","SUPPLY_CHAIN_CUSTOMERS_FULL_DATA")</f>
        <v/>
      </c>
      <c r="HC5">
        <f>BDS("PFLT US Equity","SUPPLY_CHAIN_SUPPLIERS_FULL_DATA")</f>
        <v/>
      </c>
      <c r="HQ5">
        <f>BDS("PFLT US Equity","SUPPLY_CHAIN_CUSTOMERS_FULL_DATA")</f>
        <v/>
      </c>
      <c r="IG5">
        <f>BDS("62553Q US Equity","SUPPLY_CHAIN_SUPPLIERS_FULL_DATA")</f>
        <v/>
      </c>
      <c r="IU5">
        <f>BDS("62553Q US Equity","SUPPLY_CHAIN_CUSTOMERS_FULL_DATA")</f>
        <v/>
      </c>
      <c r="JK5">
        <f>BDS("1986522D US Equity","SUPPLY_CHAIN_SUPPLIERS_FULL_DATA")</f>
        <v/>
      </c>
      <c r="JY5">
        <f>BDS("1986522D US Equity","SUPPLY_CHAIN_CUSTOMERS_FULL_DATA")</f>
        <v/>
      </c>
      <c r="KO5">
        <f>BDS("2761917Q US Equity","SUPPLY_CHAIN_SUPPLIERS_FULL_DATA")</f>
        <v/>
      </c>
      <c r="LC5">
        <f>BDS("2761917Q US Equity","SUPPLY_CHAIN_CUSTOMERS_FULL_DATA")</f>
        <v/>
      </c>
      <c r="LS5">
        <f>BDS("OMEF US Equity","SUPPLY_CHAIN_SUPPLIERS_FULL_DATA")</f>
        <v/>
      </c>
      <c r="MG5">
        <f>BDS("OMEF US Equity","SUPPLY_CHAIN_CUSTOMERS_FULL_DATA")</f>
        <v/>
      </c>
      <c r="MW5">
        <f>BDS("BMY US Equity","SUPPLY_CHAIN_SUPPLIERS_FULL_DATA")</f>
        <v/>
      </c>
      <c r="NK5">
        <f>BDS("BMY US Equity","SUPPLY_CHAIN_CUSTOMERS_FULL_DATA")</f>
        <v/>
      </c>
      <c r="OA5">
        <f>BDS("DE US Equity","SUPPLY_CHAIN_SUPPLIERS_FULL_DATA")</f>
        <v/>
      </c>
      <c r="OO5">
        <f>BDS("DE US Equity","SUPPLY_CHAIN_CUSTOMERS_FULL_DATA")</f>
        <v/>
      </c>
      <c r="PE5">
        <f>BDS("MYL US Equity","SUPPLY_CHAIN_SUPPLIERS_FULL_DATA")</f>
        <v/>
      </c>
      <c r="PS5">
        <f>BDS("MYL US Equity","SUPPLY_CHAIN_CUSTOMERS_FULL_DATA")</f>
        <v/>
      </c>
      <c r="QI5">
        <f>BDS("FULT US Equity","SUPPLY_CHAIN_SUPPLIERS_FULL_DATA")</f>
        <v/>
      </c>
      <c r="QW5">
        <f>BDS("FULT US Equity","SUPPLY_CHAIN_CUSTOMERS_FULL_DATA")</f>
        <v/>
      </c>
      <c r="RM5">
        <f>BDS("WBS US Equity","SUPPLY_CHAIN_SUPPLIERS_FULL_DATA")</f>
        <v/>
      </c>
      <c r="SA5">
        <f>BDS("WBS US Equity","SUPPLY_CHAIN_CUSTOMERS_FULL_DATA")</f>
        <v/>
      </c>
      <c r="SQ5">
        <f>BDS("SLRC US Equity","SUPPLY_CHAIN_SUPPLIERS_FULL_DATA")</f>
        <v/>
      </c>
      <c r="TE5">
        <f>BDS("SLRC US Equity","SUPPLY_CHAIN_CUSTOMERS_FULL_DATA")</f>
        <v/>
      </c>
      <c r="TU5">
        <f>BDS("BRK/A US Equity","SUPPLY_CHAIN_SUPPLIERS_FULL_DATA")</f>
        <v/>
      </c>
      <c r="UI5">
        <f>BDS("BRK/A US Equity","SUPPLY_CHAIN_CUSTOMERS_FULL_DATA")</f>
        <v/>
      </c>
      <c r="UY5">
        <f>BDS("CAH US Equity","SUPPLY_CHAIN_SUPPLIERS_FULL_DATA")</f>
        <v/>
      </c>
      <c r="VM5">
        <f>BDS("CAH US Equity","SUPPLY_CHAIN_CUSTOMERS_FULL_DATA")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2821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2822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2823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2824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2825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2826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2827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2828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2829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2830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2831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2832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2833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2834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2835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2836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2837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2838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2839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2840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nan Equity</t>
        </is>
      </c>
      <c r="AE2" s="3" t="inlineStr">
        <is>
          <t>WLY US Equity</t>
        </is>
      </c>
      <c r="BI2" s="3" t="inlineStr">
        <is>
          <t>MCHP US Equity</t>
        </is>
      </c>
      <c r="CM2" s="3" t="inlineStr">
        <is>
          <t>BMC US Equity</t>
        </is>
      </c>
      <c r="DQ2" s="3" t="inlineStr">
        <is>
          <t>TCF US Equity</t>
        </is>
      </c>
      <c r="EU2" s="3" t="inlineStr">
        <is>
          <t>UCBHQ US Equity</t>
        </is>
      </c>
      <c r="FY2" s="3" t="inlineStr">
        <is>
          <t>CARO US Equity</t>
        </is>
      </c>
      <c r="HC2" s="3" t="inlineStr">
        <is>
          <t>1947467D US Equity</t>
        </is>
      </c>
      <c r="IG2" s="3" t="inlineStr">
        <is>
          <t>nan Equity</t>
        </is>
      </c>
      <c r="JK2" s="3" t="inlineStr">
        <is>
          <t>TTN US Equity</t>
        </is>
      </c>
      <c r="KO2" s="3" t="inlineStr">
        <is>
          <t>NEQSQ US Equity</t>
        </is>
      </c>
      <c r="LS2" s="3" t="inlineStr">
        <is>
          <t>COEP US Equity</t>
        </is>
      </c>
      <c r="MW2" s="3" t="inlineStr">
        <is>
          <t>STNR US Equity</t>
        </is>
      </c>
      <c r="OA2" s="3" t="inlineStr">
        <is>
          <t>SOCNQ US Equity</t>
        </is>
      </c>
      <c r="PE2" s="3" t="inlineStr">
        <is>
          <t>CBRL US Equity</t>
        </is>
      </c>
      <c r="QI2" s="3" t="inlineStr">
        <is>
          <t>PERFQ US Equity</t>
        </is>
      </c>
      <c r="RM2" s="3" t="inlineStr">
        <is>
          <t>CMCO US Equity</t>
        </is>
      </c>
      <c r="SQ2" s="3" t="inlineStr">
        <is>
          <t>597946Q US Equity</t>
        </is>
      </c>
      <c r="TU2" s="3" t="inlineStr">
        <is>
          <t>MRK US Equity</t>
        </is>
      </c>
      <c r="UY2" s="3" t="inlineStr">
        <is>
          <t>AME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BDS("nan Equity","SUPPLY_CHAIN_SUPPLIERS_FULL_DATA")</f>
        <v/>
      </c>
      <c r="O5">
        <f>BDS("nan Equity","SUPPLY_CHAIN_CUSTOMERS_FULL_DATA")</f>
        <v/>
      </c>
      <c r="AE5">
        <f>BDS("WLY US Equity","SUPPLY_CHAIN_SUPPLIERS_FULL_DATA")</f>
        <v/>
      </c>
      <c r="AS5">
        <f>BDS("WLY US Equity","SUPPLY_CHAIN_CUSTOMERS_FULL_DATA")</f>
        <v/>
      </c>
      <c r="BI5">
        <f>BDS("MCHP US Equity","SUPPLY_CHAIN_SUPPLIERS_FULL_DATA")</f>
        <v/>
      </c>
      <c r="BW5">
        <f>BDS("MCHP US Equity","SUPPLY_CHAIN_CUSTOMERS_FULL_DATA")</f>
        <v/>
      </c>
      <c r="CM5">
        <f>BDS("BMC US Equity","SUPPLY_CHAIN_SUPPLIERS_FULL_DATA")</f>
        <v/>
      </c>
      <c r="DA5">
        <f>BDS("BMC US Equity","SUPPLY_CHAIN_CUSTOMERS_FULL_DATA")</f>
        <v/>
      </c>
      <c r="DQ5">
        <f>BDS("TCF US Equity","SUPPLY_CHAIN_SUPPLIERS_FULL_DATA")</f>
        <v/>
      </c>
      <c r="EE5">
        <f>BDS("TCF US Equity","SUPPLY_CHAIN_CUSTOMERS_FULL_DATA")</f>
        <v/>
      </c>
      <c r="EU5">
        <f>BDS("UCBHQ US Equity","SUPPLY_CHAIN_SUPPLIERS_FULL_DATA")</f>
        <v/>
      </c>
      <c r="FI5">
        <f>BDS("UCBHQ US Equity","SUPPLY_CHAIN_CUSTOMERS_FULL_DATA")</f>
        <v/>
      </c>
      <c r="FY5">
        <f>BDS("CARO US Equity","SUPPLY_CHAIN_SUPPLIERS_FULL_DATA")</f>
        <v/>
      </c>
      <c r="GM5">
        <f>BDS("CARO US Equity","SUPPLY_CHAIN_CUSTOMERS_FULL_DATA")</f>
        <v/>
      </c>
      <c r="HC5">
        <f>BDS("1947467D US Equity","SUPPLY_CHAIN_SUPPLIERS_FULL_DATA")</f>
        <v/>
      </c>
      <c r="HQ5">
        <f>BDS("1947467D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BDS("TTN US Equity","SUPPLY_CHAIN_SUPPLIERS_FULL_DATA")</f>
        <v/>
      </c>
      <c r="JY5">
        <f>BDS("TTN US Equity","SUPPLY_CHAIN_CUSTOMERS_FULL_DATA")</f>
        <v/>
      </c>
      <c r="KO5">
        <f>BDS("NEQSQ US Equity","SUPPLY_CHAIN_SUPPLIERS_FULL_DATA")</f>
        <v/>
      </c>
      <c r="LC5">
        <f>BDS("NEQSQ US Equity","SUPPLY_CHAIN_CUSTOMERS_FULL_DATA")</f>
        <v/>
      </c>
      <c r="LS5">
        <f>BDS("COEP US Equity","SUPPLY_CHAIN_SUPPLIERS_FULL_DATA")</f>
        <v/>
      </c>
      <c r="MG5">
        <f>BDS("COEP US Equity","SUPPLY_CHAIN_CUSTOMERS_FULL_DATA")</f>
        <v/>
      </c>
      <c r="MW5">
        <f>BDS("STNR US Equity","SUPPLY_CHAIN_SUPPLIERS_FULL_DATA")</f>
        <v/>
      </c>
      <c r="NK5">
        <f>BDS("STNR US Equity","SUPPLY_CHAIN_CUSTOMERS_FULL_DATA")</f>
        <v/>
      </c>
      <c r="OA5">
        <f>BDS("SOCNQ US Equity","SUPPLY_CHAIN_SUPPLIERS_FULL_DATA")</f>
        <v/>
      </c>
      <c r="OO5">
        <f>BDS("SOCNQ US Equity","SUPPLY_CHAIN_CUSTOMERS_FULL_DATA")</f>
        <v/>
      </c>
      <c r="PE5">
        <f>BDS("CBRL US Equity","SUPPLY_CHAIN_SUPPLIERS_FULL_DATA")</f>
        <v/>
      </c>
      <c r="PS5">
        <f>BDS("CBRL US Equity","SUPPLY_CHAIN_CUSTOMERS_FULL_DATA")</f>
        <v/>
      </c>
      <c r="QI5">
        <f>BDS("PERFQ US Equity","SUPPLY_CHAIN_SUPPLIERS_FULL_DATA")</f>
        <v/>
      </c>
      <c r="QW5">
        <f>BDS("PERFQ US Equity","SUPPLY_CHAIN_CUSTOMERS_FULL_DATA")</f>
        <v/>
      </c>
      <c r="RM5">
        <f>BDS("CMCO US Equity","SUPPLY_CHAIN_SUPPLIERS_FULL_DATA")</f>
        <v/>
      </c>
      <c r="SA5">
        <f>BDS("CMCO US Equity","SUPPLY_CHAIN_CUSTOMERS_FULL_DATA")</f>
        <v/>
      </c>
      <c r="SQ5">
        <f>BDS("597946Q US Equity","SUPPLY_CHAIN_SUPPLIERS_FULL_DATA")</f>
        <v/>
      </c>
      <c r="TE5">
        <f>BDS("597946Q US Equity","SUPPLY_CHAIN_CUSTOMERS_FULL_DATA")</f>
        <v/>
      </c>
      <c r="TU5">
        <f>BDS("MRK US Equity","SUPPLY_CHAIN_SUPPLIERS_FULL_DATA")</f>
        <v/>
      </c>
      <c r="UI5">
        <f>BDS("MRK US Equity","SUPPLY_CHAIN_CUSTOMERS_FULL_DATA")</f>
        <v/>
      </c>
      <c r="UY5">
        <f>BDS("AME US Equity","SUPPLY_CHAIN_SUPPLIERS_FULL_DATA")</f>
        <v/>
      </c>
      <c r="VM5">
        <f>BDS("AME US Equity","SUPPLY_CHAIN_CUSTOMERS_FULL_DATA")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2841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2842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2843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2844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2845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2846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2847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2848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2849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2850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2851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2852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2853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2854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2855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2856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2857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2858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2859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2860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TEX US Equity</t>
        </is>
      </c>
      <c r="AE2" s="3" t="inlineStr">
        <is>
          <t>MSBI US Equity</t>
        </is>
      </c>
      <c r="BI2" s="3" t="inlineStr">
        <is>
          <t>TOWN US Equity</t>
        </is>
      </c>
      <c r="CM2" s="3" t="inlineStr">
        <is>
          <t>3346Q US Equity</t>
        </is>
      </c>
      <c r="DQ2" s="3" t="inlineStr">
        <is>
          <t>1498499D US Equity</t>
        </is>
      </c>
      <c r="EU2" s="3" t="inlineStr">
        <is>
          <t>2258717D US Equity</t>
        </is>
      </c>
      <c r="FY2" s="3" t="inlineStr">
        <is>
          <t>CBST US Equity</t>
        </is>
      </c>
      <c r="HC2" s="3" t="inlineStr">
        <is>
          <t>UGS US Equity</t>
        </is>
      </c>
      <c r="IG2" s="3" t="inlineStr">
        <is>
          <t>3059Q US Equity</t>
        </is>
      </c>
      <c r="JK2" s="3" t="inlineStr">
        <is>
          <t>RSFC US Equity</t>
        </is>
      </c>
      <c r="KO2" s="3" t="inlineStr">
        <is>
          <t>DAVLE US Equity</t>
        </is>
      </c>
      <c r="LS2" s="3" t="inlineStr">
        <is>
          <t>SLXP US Equity</t>
        </is>
      </c>
      <c r="MW2" s="3" t="inlineStr">
        <is>
          <t>GEN US Equity</t>
        </is>
      </c>
      <c r="OA2" s="3" t="inlineStr">
        <is>
          <t>894800Q US Equity</t>
        </is>
      </c>
      <c r="PE2" s="3" t="inlineStr">
        <is>
          <t>FBNC US Equity</t>
        </is>
      </c>
      <c r="QI2" s="3" t="inlineStr">
        <is>
          <t>TFC US Equity</t>
        </is>
      </c>
      <c r="RM2" s="3" t="inlineStr">
        <is>
          <t>MBFI US Equity</t>
        </is>
      </c>
      <c r="SQ2" s="3" t="inlineStr">
        <is>
          <t>TMO US Equity</t>
        </is>
      </c>
      <c r="TU2" s="3" t="inlineStr">
        <is>
          <t>CKFR US Equity</t>
        </is>
      </c>
      <c r="UY2" s="3" t="inlineStr">
        <is>
          <t>BCR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BDS("TEX US Equity","SUPPLY_CHAIN_SUPPLIERS_FULL_DATA")</f>
        <v/>
      </c>
      <c r="O5">
        <f>BDS("TEX US Equity","SUPPLY_CHAIN_CUSTOMERS_FULL_DATA")</f>
        <v/>
      </c>
      <c r="AE5">
        <f>BDS("MSBI US Equity","SUPPLY_CHAIN_SUPPLIERS_FULL_DATA")</f>
        <v/>
      </c>
      <c r="AS5">
        <f>BDS("MSBI US Equity","SUPPLY_CHAIN_CUSTOMERS_FULL_DATA")</f>
        <v/>
      </c>
      <c r="BI5">
        <f>BDS("TOWN US Equity","SUPPLY_CHAIN_SUPPLIERS_FULL_DATA")</f>
        <v/>
      </c>
      <c r="BW5">
        <f>BDS("TOWN US Equity","SUPPLY_CHAIN_CUSTOMERS_FULL_DATA")</f>
        <v/>
      </c>
      <c r="CM5">
        <f>BDS("3346Q US Equity","SUPPLY_CHAIN_SUPPLIERS_FULL_DATA")</f>
        <v/>
      </c>
      <c r="DA5">
        <f>BDS("3346Q US Equity","SUPPLY_CHAIN_CUSTOMERS_FULL_DATA")</f>
        <v/>
      </c>
      <c r="DQ5">
        <f>BDS("1498499D US Equity","SUPPLY_CHAIN_SUPPLIERS_FULL_DATA")</f>
        <v/>
      </c>
      <c r="EE5">
        <f>BDS("1498499D US Equity","SUPPLY_CHAIN_CUSTOMERS_FULL_DATA")</f>
        <v/>
      </c>
      <c r="EU5">
        <f>BDS("2258717D US Equity","SUPPLY_CHAIN_SUPPLIERS_FULL_DATA")</f>
        <v/>
      </c>
      <c r="FI5">
        <f>BDS("2258717D US Equity","SUPPLY_CHAIN_CUSTOMERS_FULL_DATA")</f>
        <v/>
      </c>
      <c r="FY5">
        <f>BDS("CBST US Equity","SUPPLY_CHAIN_SUPPLIERS_FULL_DATA")</f>
        <v/>
      </c>
      <c r="GM5">
        <f>BDS("CBST US Equity","SUPPLY_CHAIN_CUSTOMERS_FULL_DATA")</f>
        <v/>
      </c>
      <c r="HC5">
        <f>BDS("UGS US Equity","SUPPLY_CHAIN_SUPPLIERS_FULL_DATA")</f>
        <v/>
      </c>
      <c r="HQ5">
        <f>BDS("UGS US Equity","SUPPLY_CHAIN_CUSTOMERS_FULL_DATA")</f>
        <v/>
      </c>
      <c r="IG5">
        <f>BDS("3059Q US Equity","SUPPLY_CHAIN_SUPPLIERS_FULL_DATA")</f>
        <v/>
      </c>
      <c r="IU5">
        <f>BDS("3059Q US Equity","SUPPLY_CHAIN_CUSTOMERS_FULL_DATA")</f>
        <v/>
      </c>
      <c r="JK5">
        <f>BDS("RSFC US Equity","SUPPLY_CHAIN_SUPPLIERS_FULL_DATA")</f>
        <v/>
      </c>
      <c r="JY5">
        <f>BDS("RSFC US Equity","SUPPLY_CHAIN_CUSTOMERS_FULL_DATA")</f>
        <v/>
      </c>
      <c r="KO5">
        <f>BDS("DAVLE US Equity","SUPPLY_CHAIN_SUPPLIERS_FULL_DATA")</f>
        <v/>
      </c>
      <c r="LC5">
        <f>BDS("DAVLE US Equity","SUPPLY_CHAIN_CUSTOMERS_FULL_DATA")</f>
        <v/>
      </c>
      <c r="LS5">
        <f>BDS("SLXP US Equity","SUPPLY_CHAIN_SUPPLIERS_FULL_DATA")</f>
        <v/>
      </c>
      <c r="MG5">
        <f>BDS("SLXP US Equity","SUPPLY_CHAIN_CUSTOMERS_FULL_DATA")</f>
        <v/>
      </c>
      <c r="MW5">
        <f>BDS("GEN US Equity","SUPPLY_CHAIN_SUPPLIERS_FULL_DATA")</f>
        <v/>
      </c>
      <c r="NK5">
        <f>BDS("GEN US Equity","SUPPLY_CHAIN_CUSTOMERS_FULL_DATA")</f>
        <v/>
      </c>
      <c r="OA5">
        <f>BDS("894800Q US Equity","SUPPLY_CHAIN_SUPPLIERS_FULL_DATA")</f>
        <v/>
      </c>
      <c r="OO5">
        <f>BDS("894800Q US Equity","SUPPLY_CHAIN_CUSTOMERS_FULL_DATA")</f>
        <v/>
      </c>
      <c r="PE5">
        <f>BDS("FBNC US Equity","SUPPLY_CHAIN_SUPPLIERS_FULL_DATA")</f>
        <v/>
      </c>
      <c r="PS5">
        <f>BDS("FBNC US Equity","SUPPLY_CHAIN_CUSTOMERS_FULL_DATA")</f>
        <v/>
      </c>
      <c r="QI5">
        <f>BDS("TFC US Equity","SUPPLY_CHAIN_SUPPLIERS_FULL_DATA")</f>
        <v/>
      </c>
      <c r="QW5">
        <f>BDS("TFC US Equity","SUPPLY_CHAIN_CUSTOMERS_FULL_DATA")</f>
        <v/>
      </c>
      <c r="RM5">
        <f>BDS("MBFI US Equity","SUPPLY_CHAIN_SUPPLIERS_FULL_DATA")</f>
        <v/>
      </c>
      <c r="SA5">
        <f>BDS("MBFI US Equity","SUPPLY_CHAIN_CUSTOMERS_FULL_DATA")</f>
        <v/>
      </c>
      <c r="SQ5">
        <f>BDS("TMO US Equity","SUPPLY_CHAIN_SUPPLIERS_FULL_DATA")</f>
        <v/>
      </c>
      <c r="TE5">
        <f>BDS("TMO US Equity","SUPPLY_CHAIN_CUSTOMERS_FULL_DATA")</f>
        <v/>
      </c>
      <c r="TU5">
        <f>BDS("CKFR US Equity","SUPPLY_CHAIN_SUPPLIERS_FULL_DATA")</f>
        <v/>
      </c>
      <c r="UI5">
        <f>BDS("CKFR US Equity","SUPPLY_CHAIN_CUSTOMERS_FULL_DATA")</f>
        <v/>
      </c>
      <c r="UY5">
        <f>BDS("BCR US Equity","SUPPLY_CHAIN_SUPPLIERS_FULL_DATA")</f>
        <v/>
      </c>
      <c r="VM5">
        <f>BDS("BCR US Equity","SUPPLY_CHAIN_CUSTOMERS_FULL_DATA")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2861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2862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2863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2864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2865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2866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2867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2868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2869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2870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2871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2872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2873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2874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2875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2876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2877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2878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2879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2880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COR US Equity</t>
        </is>
      </c>
      <c r="AE2" s="3" t="inlineStr">
        <is>
          <t>KO US Equity</t>
        </is>
      </c>
      <c r="BI2" s="3" t="inlineStr">
        <is>
          <t>TXT US Equity</t>
        </is>
      </c>
      <c r="CM2" s="3" t="inlineStr">
        <is>
          <t>ARW US Equity</t>
        </is>
      </c>
      <c r="DQ2" s="3" t="inlineStr">
        <is>
          <t>TDG US Equity</t>
        </is>
      </c>
      <c r="EU2" s="3" t="inlineStr">
        <is>
          <t>SOV US Equity</t>
        </is>
      </c>
      <c r="FY2" s="3" t="inlineStr">
        <is>
          <t>1312089D US Equity</t>
        </is>
      </c>
      <c r="HC2" s="3" t="inlineStr">
        <is>
          <t>TSFG US Equity</t>
        </is>
      </c>
      <c r="IG2" s="3" t="inlineStr">
        <is>
          <t>KRNY US Equity</t>
        </is>
      </c>
      <c r="JK2" s="3" t="inlineStr">
        <is>
          <t>CSFL US Equity</t>
        </is>
      </c>
      <c r="KO2" s="3" t="inlineStr">
        <is>
          <t>OCLR US Equity</t>
        </is>
      </c>
      <c r="LS2" s="3" t="inlineStr">
        <is>
          <t>2569244D US Equity</t>
        </is>
      </c>
      <c r="MW2" s="3" t="inlineStr">
        <is>
          <t>DXLG US Equity</t>
        </is>
      </c>
      <c r="OA2" s="3" t="inlineStr">
        <is>
          <t>SGID US Equity</t>
        </is>
      </c>
      <c r="PE2" s="3" t="inlineStr">
        <is>
          <t>NVDA US Equity</t>
        </is>
      </c>
      <c r="QI2" s="3" t="inlineStr">
        <is>
          <t>TDY US Equity</t>
        </is>
      </c>
      <c r="RM2" s="3" t="inlineStr">
        <is>
          <t>1822785D US Equity</t>
        </is>
      </c>
      <c r="SQ2" s="3" t="inlineStr">
        <is>
          <t>NFB US Equity</t>
        </is>
      </c>
      <c r="TU2" s="3" t="inlineStr">
        <is>
          <t>ONB US Equity</t>
        </is>
      </c>
      <c r="UY2" s="3" t="inlineStr">
        <is>
          <t>MIDD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BDS("COR US Equity","SUPPLY_CHAIN_SUPPLIERS_FULL_DATA")</f>
        <v/>
      </c>
      <c r="O5">
        <f>BDS("COR US Equity","SUPPLY_CHAIN_CUSTOMERS_FULL_DATA")</f>
        <v/>
      </c>
      <c r="AE5">
        <f>BDS("KO US Equity","SUPPLY_CHAIN_SUPPLIERS_FULL_DATA")</f>
        <v/>
      </c>
      <c r="AS5">
        <f>BDS("KO US Equity","SUPPLY_CHAIN_CUSTOMERS_FULL_DATA")</f>
        <v/>
      </c>
      <c r="BI5">
        <f>BDS("TXT US Equity","SUPPLY_CHAIN_SUPPLIERS_FULL_DATA")</f>
        <v/>
      </c>
      <c r="BW5">
        <f>BDS("TXT US Equity","SUPPLY_CHAIN_CUSTOMERS_FULL_DATA")</f>
        <v/>
      </c>
      <c r="CM5">
        <f>BDS("ARW US Equity","SUPPLY_CHAIN_SUPPLIERS_FULL_DATA")</f>
        <v/>
      </c>
      <c r="DA5">
        <f>BDS("ARW US Equity","SUPPLY_CHAIN_CUSTOMERS_FULL_DATA")</f>
        <v/>
      </c>
      <c r="DQ5">
        <f>BDS("TDG US Equity","SUPPLY_CHAIN_SUPPLIERS_FULL_DATA")</f>
        <v/>
      </c>
      <c r="EE5">
        <f>BDS("TDG US Equity","SUPPLY_CHAIN_CUSTOMERS_FULL_DATA")</f>
        <v/>
      </c>
      <c r="EU5">
        <f>BDS("SOV US Equity","SUPPLY_CHAIN_SUPPLIERS_FULL_DATA")</f>
        <v/>
      </c>
      <c r="FI5">
        <f>BDS("SOV US Equity","SUPPLY_CHAIN_CUSTOMERS_FULL_DATA")</f>
        <v/>
      </c>
      <c r="FY5">
        <f>BDS("1312089D US Equity","SUPPLY_CHAIN_SUPPLIERS_FULL_DATA")</f>
        <v/>
      </c>
      <c r="GM5">
        <f>BDS("1312089D US Equity","SUPPLY_CHAIN_CUSTOMERS_FULL_DATA")</f>
        <v/>
      </c>
      <c r="HC5">
        <f>BDS("TSFG US Equity","SUPPLY_CHAIN_SUPPLIERS_FULL_DATA")</f>
        <v/>
      </c>
      <c r="HQ5">
        <f>BDS("TSFG US Equity","SUPPLY_CHAIN_CUSTOMERS_FULL_DATA")</f>
        <v/>
      </c>
      <c r="IG5">
        <f>BDS("KRNY US Equity","SUPPLY_CHAIN_SUPPLIERS_FULL_DATA")</f>
        <v/>
      </c>
      <c r="IU5">
        <f>BDS("KRNY US Equity","SUPPLY_CHAIN_CUSTOMERS_FULL_DATA")</f>
        <v/>
      </c>
      <c r="JK5">
        <f>BDS("CSFL US Equity","SUPPLY_CHAIN_SUPPLIERS_FULL_DATA")</f>
        <v/>
      </c>
      <c r="JY5">
        <f>BDS("CSFL US Equity","SUPPLY_CHAIN_CUSTOMERS_FULL_DATA")</f>
        <v/>
      </c>
      <c r="KO5">
        <f>BDS("OCLR US Equity","SUPPLY_CHAIN_SUPPLIERS_FULL_DATA")</f>
        <v/>
      </c>
      <c r="LC5">
        <f>BDS("OCLR US Equity","SUPPLY_CHAIN_CUSTOMERS_FULL_DATA")</f>
        <v/>
      </c>
      <c r="LS5">
        <f>BDS("2569244D US Equity","SUPPLY_CHAIN_SUPPLIERS_FULL_DATA")</f>
        <v/>
      </c>
      <c r="MG5">
        <f>BDS("2569244D US Equity","SUPPLY_CHAIN_CUSTOMERS_FULL_DATA")</f>
        <v/>
      </c>
      <c r="MW5">
        <f>BDS("DXLG US Equity","SUPPLY_CHAIN_SUPPLIERS_FULL_DATA")</f>
        <v/>
      </c>
      <c r="NK5">
        <f>BDS("DXLG US Equity","SUPPLY_CHAIN_CUSTOMERS_FULL_DATA")</f>
        <v/>
      </c>
      <c r="OA5">
        <f>BDS("SGID US Equity","SUPPLY_CHAIN_SUPPLIERS_FULL_DATA")</f>
        <v/>
      </c>
      <c r="OO5">
        <f>BDS("SGID US Equity","SUPPLY_CHAIN_CUSTOMERS_FULL_DATA")</f>
        <v/>
      </c>
      <c r="PE5">
        <f>BDS("NVDA US Equity","SUPPLY_CHAIN_SUPPLIERS_FULL_DATA")</f>
        <v/>
      </c>
      <c r="PS5">
        <f>BDS("NVDA US Equity","SUPPLY_CHAIN_CUSTOMERS_FULL_DATA")</f>
        <v/>
      </c>
      <c r="QI5">
        <f>BDS("TDY US Equity","SUPPLY_CHAIN_SUPPLIERS_FULL_DATA")</f>
        <v/>
      </c>
      <c r="QW5">
        <f>BDS("TDY US Equity","SUPPLY_CHAIN_CUSTOMERS_FULL_DATA")</f>
        <v/>
      </c>
      <c r="RM5">
        <f>BDS("1822785D US Equity","SUPPLY_CHAIN_SUPPLIERS_FULL_DATA")</f>
        <v/>
      </c>
      <c r="SA5">
        <f>BDS("1822785D US Equity","SUPPLY_CHAIN_CUSTOMERS_FULL_DATA")</f>
        <v/>
      </c>
      <c r="SQ5">
        <f>BDS("NFB US Equity","SUPPLY_CHAIN_SUPPLIERS_FULL_DATA")</f>
        <v/>
      </c>
      <c r="TE5">
        <f>BDS("NFB US Equity","SUPPLY_CHAIN_CUSTOMERS_FULL_DATA")</f>
        <v/>
      </c>
      <c r="TU5">
        <f>BDS("ONB US Equity","SUPPLY_CHAIN_SUPPLIERS_FULL_DATA")</f>
        <v/>
      </c>
      <c r="UI5">
        <f>BDS("ONB US Equity","SUPPLY_CHAIN_CUSTOMERS_FULL_DATA")</f>
        <v/>
      </c>
      <c r="UY5">
        <f>BDS("MIDD US Equity","SUPPLY_CHAIN_SUPPLIERS_FULL_DATA")</f>
        <v/>
      </c>
      <c r="VM5">
        <f>BDS("MIDD US Equity","SUPPLY_CHAIN_CUSTOMERS_FULL_DATA")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2881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2882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2883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2884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2885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2886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2887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2888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2889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2890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2891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2892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2893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2894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2895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2896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2897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2898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2899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2900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FNSR US Equity</t>
        </is>
      </c>
      <c r="AE2" s="3" t="inlineStr">
        <is>
          <t>OCR US Equity</t>
        </is>
      </c>
      <c r="BI2" s="3" t="inlineStr">
        <is>
          <t>SNEX US Equity</t>
        </is>
      </c>
      <c r="CM2" s="3" t="inlineStr">
        <is>
          <t>SCS US Equity</t>
        </is>
      </c>
      <c r="DQ2" s="3" t="inlineStr">
        <is>
          <t>EBAY US Equity</t>
        </is>
      </c>
      <c r="EU2" s="3" t="inlineStr">
        <is>
          <t>IBM US Equity</t>
        </is>
      </c>
      <c r="FY2" s="3" t="inlineStr">
        <is>
          <t>PRK US Equity</t>
        </is>
      </c>
      <c r="HC2" s="3" t="inlineStr">
        <is>
          <t>MAFB US Equity</t>
        </is>
      </c>
      <c r="IG2" s="3" t="inlineStr">
        <is>
          <t>HNBC US Equity</t>
        </is>
      </c>
      <c r="JK2" s="3" t="inlineStr">
        <is>
          <t>FBNC US Equity</t>
        </is>
      </c>
      <c r="KO2" s="3" t="inlineStr">
        <is>
          <t>8184843Q US Equity</t>
        </is>
      </c>
      <c r="LS2" s="3" t="inlineStr">
        <is>
          <t>8206908Q US Equity</t>
        </is>
      </c>
      <c r="MW2" s="3" t="inlineStr">
        <is>
          <t>1492800D US Equity</t>
        </is>
      </c>
      <c r="OA2" s="3" t="inlineStr">
        <is>
          <t>FBF US Equity</t>
        </is>
      </c>
      <c r="PE2" s="3" t="inlineStr">
        <is>
          <t>1916526D US Equity</t>
        </is>
      </c>
      <c r="QI2" s="3" t="inlineStr">
        <is>
          <t>2370058D US Equity</t>
        </is>
      </c>
      <c r="RM2" s="3" t="inlineStr">
        <is>
          <t>SUSQ US Equity</t>
        </is>
      </c>
      <c r="SQ2" s="3" t="inlineStr">
        <is>
          <t>WTNY US Equity</t>
        </is>
      </c>
      <c r="TU2" s="3" t="inlineStr">
        <is>
          <t>GCO US Equity</t>
        </is>
      </c>
      <c r="UY2" s="3" t="inlineStr">
        <is>
          <t>540513Q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BDS("FNSR US Equity","SUPPLY_CHAIN_SUPPLIERS_FULL_DATA")</f>
        <v/>
      </c>
      <c r="O5">
        <f>BDS("FNSR US Equity","SUPPLY_CHAIN_CUSTOMERS_FULL_DATA")</f>
        <v/>
      </c>
      <c r="AE5">
        <f>BDS("OCR US Equity","SUPPLY_CHAIN_SUPPLIERS_FULL_DATA")</f>
        <v/>
      </c>
      <c r="AS5">
        <f>BDS("OCR US Equity","SUPPLY_CHAIN_CUSTOMERS_FULL_DATA")</f>
        <v/>
      </c>
      <c r="BI5">
        <f>BDS("SNEX US Equity","SUPPLY_CHAIN_SUPPLIERS_FULL_DATA")</f>
        <v/>
      </c>
      <c r="BW5">
        <f>BDS("SNEX US Equity","SUPPLY_CHAIN_CUSTOMERS_FULL_DATA")</f>
        <v/>
      </c>
      <c r="CM5">
        <f>BDS("SCS US Equity","SUPPLY_CHAIN_SUPPLIERS_FULL_DATA")</f>
        <v/>
      </c>
      <c r="DA5">
        <f>BDS("SCS US Equity","SUPPLY_CHAIN_CUSTOMERS_FULL_DATA")</f>
        <v/>
      </c>
      <c r="DQ5">
        <f>BDS("EBAY US Equity","SUPPLY_CHAIN_SUPPLIERS_FULL_DATA")</f>
        <v/>
      </c>
      <c r="EE5">
        <f>BDS("EBAY US Equity","SUPPLY_CHAIN_CUSTOMERS_FULL_DATA")</f>
        <v/>
      </c>
      <c r="EU5">
        <f>BDS("IBM US Equity","SUPPLY_CHAIN_SUPPLIERS_FULL_DATA")</f>
        <v/>
      </c>
      <c r="FI5">
        <f>BDS("IBM US Equity","SUPPLY_CHAIN_CUSTOMERS_FULL_DATA")</f>
        <v/>
      </c>
      <c r="FY5">
        <f>BDS("PRK US Equity","SUPPLY_CHAIN_SUPPLIERS_FULL_DATA")</f>
        <v/>
      </c>
      <c r="GM5">
        <f>BDS("PRK US Equity","SUPPLY_CHAIN_CUSTOMERS_FULL_DATA")</f>
        <v/>
      </c>
      <c r="HC5">
        <f>BDS("MAFB US Equity","SUPPLY_CHAIN_SUPPLIERS_FULL_DATA")</f>
        <v/>
      </c>
      <c r="HQ5">
        <f>BDS("MAFB US Equity","SUPPLY_CHAIN_CUSTOMERS_FULL_DATA")</f>
        <v/>
      </c>
      <c r="IG5">
        <f>BDS("HNBC US Equity","SUPPLY_CHAIN_SUPPLIERS_FULL_DATA")</f>
        <v/>
      </c>
      <c r="IU5">
        <f>BDS("HNBC US Equity","SUPPLY_CHAIN_CUSTOMERS_FULL_DATA")</f>
        <v/>
      </c>
      <c r="JK5">
        <f>BDS("FBNC US Equity","SUPPLY_CHAIN_SUPPLIERS_FULL_DATA")</f>
        <v/>
      </c>
      <c r="JY5">
        <f>BDS("FBNC US Equity","SUPPLY_CHAIN_CUSTOMERS_FULL_DATA")</f>
        <v/>
      </c>
      <c r="KO5">
        <f>BDS("8184843Q US Equity","SUPPLY_CHAIN_SUPPLIERS_FULL_DATA")</f>
        <v/>
      </c>
      <c r="LC5">
        <f>BDS("8184843Q US Equity","SUPPLY_CHAIN_CUSTOMERS_FULL_DATA")</f>
        <v/>
      </c>
      <c r="LS5">
        <f>BDS("8206908Q US Equity","SUPPLY_CHAIN_SUPPLIERS_FULL_DATA")</f>
        <v/>
      </c>
      <c r="MG5">
        <f>BDS("8206908Q US Equity","SUPPLY_CHAIN_CUSTOMERS_FULL_DATA")</f>
        <v/>
      </c>
      <c r="MW5">
        <f>BDS("1492800D US Equity","SUPPLY_CHAIN_SUPPLIERS_FULL_DATA")</f>
        <v/>
      </c>
      <c r="NK5">
        <f>BDS("1492800D US Equity","SUPPLY_CHAIN_CUSTOMERS_FULL_DATA")</f>
        <v/>
      </c>
      <c r="OA5">
        <f>BDS("FBF US Equity","SUPPLY_CHAIN_SUPPLIERS_FULL_DATA")</f>
        <v/>
      </c>
      <c r="OO5">
        <f>BDS("FBF US Equity","SUPPLY_CHAIN_CUSTOMERS_FULL_DATA")</f>
        <v/>
      </c>
      <c r="PE5">
        <f>BDS("1916526D US Equity","SUPPLY_CHAIN_SUPPLIERS_FULL_DATA")</f>
        <v/>
      </c>
      <c r="PS5">
        <f>BDS("1916526D US Equity","SUPPLY_CHAIN_CUSTOMERS_FULL_DATA")</f>
        <v/>
      </c>
      <c r="QI5">
        <f>BDS("2370058D US Equity","SUPPLY_CHAIN_SUPPLIERS_FULL_DATA")</f>
        <v/>
      </c>
      <c r="QW5">
        <f>BDS("2370058D US Equity","SUPPLY_CHAIN_CUSTOMERS_FULL_DATA")</f>
        <v/>
      </c>
      <c r="RM5">
        <f>BDS("SUSQ US Equity","SUPPLY_CHAIN_SUPPLIERS_FULL_DATA")</f>
        <v/>
      </c>
      <c r="SA5">
        <f>BDS("SUSQ US Equity","SUPPLY_CHAIN_CUSTOMERS_FULL_DATA")</f>
        <v/>
      </c>
      <c r="SQ5">
        <f>BDS("WTNY US Equity","SUPPLY_CHAIN_SUPPLIERS_FULL_DATA")</f>
        <v/>
      </c>
      <c r="TE5">
        <f>BDS("WTNY US Equity","SUPPLY_CHAIN_CUSTOMERS_FULL_DATA")</f>
        <v/>
      </c>
      <c r="TU5">
        <f>BDS("GCO US Equity","SUPPLY_CHAIN_SUPPLIERS_FULL_DATA")</f>
        <v/>
      </c>
      <c r="UI5">
        <f>BDS("GCO US Equity","SUPPLY_CHAIN_CUSTOMERS_FULL_DATA")</f>
        <v/>
      </c>
      <c r="UY5">
        <f>BDS("540513Q US Equity","SUPPLY_CHAIN_SUPPLIERS_FULL_DATA")</f>
        <v/>
      </c>
      <c r="VM5">
        <f>BDS("540513Q US Equity","SUPPLY_CHAIN_CUSTOMERS_FULL_DATA")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2901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2902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2903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2904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2905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2906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2907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2908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2909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2910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2911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2912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2913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2914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2915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2916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2917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2918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2919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2920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1526901D US Equity</t>
        </is>
      </c>
      <c r="AE2" s="3" t="inlineStr">
        <is>
          <t>3423152Q US Equity</t>
        </is>
      </c>
      <c r="BI2" s="3" t="inlineStr">
        <is>
          <t>FITB US Equity</t>
        </is>
      </c>
      <c r="CM2" s="3" t="inlineStr">
        <is>
          <t>CTXS US Equity</t>
        </is>
      </c>
      <c r="DQ2" s="3" t="inlineStr">
        <is>
          <t>HOUS US Equity</t>
        </is>
      </c>
      <c r="EU2" s="3" t="inlineStr">
        <is>
          <t>1523873D US Equity</t>
        </is>
      </c>
      <c r="FY2" s="3" t="inlineStr">
        <is>
          <t>FLG US Equity</t>
        </is>
      </c>
      <c r="HC2" s="3" t="inlineStr">
        <is>
          <t>390297Q US Equity</t>
        </is>
      </c>
      <c r="IG2" s="3" t="inlineStr">
        <is>
          <t>MXL US Equity</t>
        </is>
      </c>
      <c r="JK2" s="3" t="inlineStr">
        <is>
          <t>RYZ US Equity</t>
        </is>
      </c>
      <c r="KO2" s="3" t="inlineStr">
        <is>
          <t>TIPTL US Equity</t>
        </is>
      </c>
      <c r="LS2" s="3" t="inlineStr">
        <is>
          <t>OLN US Equity</t>
        </is>
      </c>
      <c r="MW2" s="3" t="inlineStr">
        <is>
          <t>BBDC US Equity</t>
        </is>
      </c>
      <c r="OA2" s="3" t="inlineStr">
        <is>
          <t>OCFC US Equity</t>
        </is>
      </c>
      <c r="PE2" s="3" t="inlineStr">
        <is>
          <t>BTFG US Equity</t>
        </is>
      </c>
      <c r="QI2" s="3" t="inlineStr">
        <is>
          <t>SWKS US Equity</t>
        </is>
      </c>
      <c r="RM2" s="3" t="inlineStr">
        <is>
          <t>1740293D US Equity</t>
        </is>
      </c>
      <c r="SQ2" s="3" t="inlineStr">
        <is>
          <t>ALTR US Equity</t>
        </is>
      </c>
      <c r="TU2" s="3" t="inlineStr">
        <is>
          <t>0948669D US Equity</t>
        </is>
      </c>
      <c r="UY2" s="3" t="inlineStr">
        <is>
          <t>NBR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BDS("1526901D US Equity","SUPPLY_CHAIN_SUPPLIERS_FULL_DATA")</f>
        <v/>
      </c>
      <c r="O5">
        <f>BDS("1526901D US Equity","SUPPLY_CHAIN_CUSTOMERS_FULL_DATA")</f>
        <v/>
      </c>
      <c r="AE5">
        <f>BDS("3423152Q US Equity","SUPPLY_CHAIN_SUPPLIERS_FULL_DATA")</f>
        <v/>
      </c>
      <c r="AS5">
        <f>BDS("3423152Q US Equity","SUPPLY_CHAIN_CUSTOMERS_FULL_DATA")</f>
        <v/>
      </c>
      <c r="BI5">
        <f>BDS("FITB US Equity","SUPPLY_CHAIN_SUPPLIERS_FULL_DATA")</f>
        <v/>
      </c>
      <c r="BW5">
        <f>BDS("FITB US Equity","SUPPLY_CHAIN_CUSTOMERS_FULL_DATA")</f>
        <v/>
      </c>
      <c r="CM5">
        <f>BDS("CTXS US Equity","SUPPLY_CHAIN_SUPPLIERS_FULL_DATA")</f>
        <v/>
      </c>
      <c r="DA5">
        <f>BDS("CTXS US Equity","SUPPLY_CHAIN_CUSTOMERS_FULL_DATA")</f>
        <v/>
      </c>
      <c r="DQ5">
        <f>BDS("HOUS US Equity","SUPPLY_CHAIN_SUPPLIERS_FULL_DATA")</f>
        <v/>
      </c>
      <c r="EE5">
        <f>BDS("HOUS US Equity","SUPPLY_CHAIN_CUSTOMERS_FULL_DATA")</f>
        <v/>
      </c>
      <c r="EU5">
        <f>BDS("1523873D US Equity","SUPPLY_CHAIN_SUPPLIERS_FULL_DATA")</f>
        <v/>
      </c>
      <c r="FI5">
        <f>BDS("1523873D US Equity","SUPPLY_CHAIN_CUSTOMERS_FULL_DATA")</f>
        <v/>
      </c>
      <c r="FY5">
        <f>BDS("FLG US Equity","SUPPLY_CHAIN_SUPPLIERS_FULL_DATA")</f>
        <v/>
      </c>
      <c r="GM5">
        <f>BDS("FLG US Equity","SUPPLY_CHAIN_CUSTOMERS_FULL_DATA")</f>
        <v/>
      </c>
      <c r="HC5">
        <f>BDS("390297Q US Equity","SUPPLY_CHAIN_SUPPLIERS_FULL_DATA")</f>
        <v/>
      </c>
      <c r="HQ5">
        <f>BDS("390297Q US Equity","SUPPLY_CHAIN_CUSTOMERS_FULL_DATA")</f>
        <v/>
      </c>
      <c r="IG5">
        <f>BDS("MXL US Equity","SUPPLY_CHAIN_SUPPLIERS_FULL_DATA")</f>
        <v/>
      </c>
      <c r="IU5">
        <f>BDS("MXL US Equity","SUPPLY_CHAIN_CUSTOMERS_FULL_DATA")</f>
        <v/>
      </c>
      <c r="JK5">
        <f>BDS("RYZ US Equity","SUPPLY_CHAIN_SUPPLIERS_FULL_DATA")</f>
        <v/>
      </c>
      <c r="JY5">
        <f>BDS("RYZ US Equity","SUPPLY_CHAIN_CUSTOMERS_FULL_DATA")</f>
        <v/>
      </c>
      <c r="KO5">
        <f>BDS("TIPTL US Equity","SUPPLY_CHAIN_SUPPLIERS_FULL_DATA")</f>
        <v/>
      </c>
      <c r="LC5">
        <f>BDS("TIPTL US Equity","SUPPLY_CHAIN_CUSTOMERS_FULL_DATA")</f>
        <v/>
      </c>
      <c r="LS5">
        <f>BDS("OLN US Equity","SUPPLY_CHAIN_SUPPLIERS_FULL_DATA")</f>
        <v/>
      </c>
      <c r="MG5">
        <f>BDS("OLN US Equity","SUPPLY_CHAIN_CUSTOMERS_FULL_DATA")</f>
        <v/>
      </c>
      <c r="MW5">
        <f>BDS("BBDC US Equity","SUPPLY_CHAIN_SUPPLIERS_FULL_DATA")</f>
        <v/>
      </c>
      <c r="NK5">
        <f>BDS("BBDC US Equity","SUPPLY_CHAIN_CUSTOMERS_FULL_DATA")</f>
        <v/>
      </c>
      <c r="OA5">
        <f>BDS("OCFC US Equity","SUPPLY_CHAIN_SUPPLIERS_FULL_DATA")</f>
        <v/>
      </c>
      <c r="OO5">
        <f>BDS("OCFC US Equity","SUPPLY_CHAIN_CUSTOMERS_FULL_DATA")</f>
        <v/>
      </c>
      <c r="PE5">
        <f>BDS("BTFG US Equity","SUPPLY_CHAIN_SUPPLIERS_FULL_DATA")</f>
        <v/>
      </c>
      <c r="PS5">
        <f>BDS("BTFG US Equity","SUPPLY_CHAIN_CUSTOMERS_FULL_DATA")</f>
        <v/>
      </c>
      <c r="QI5">
        <f>BDS("SWKS US Equity","SUPPLY_CHAIN_SUPPLIERS_FULL_DATA")</f>
        <v/>
      </c>
      <c r="QW5">
        <f>BDS("SWKS US Equity","SUPPLY_CHAIN_CUSTOMERS_FULL_DATA")</f>
        <v/>
      </c>
      <c r="RM5">
        <f>BDS("1740293D US Equity","SUPPLY_CHAIN_SUPPLIERS_FULL_DATA")</f>
        <v/>
      </c>
      <c r="SA5">
        <f>BDS("1740293D US Equity","SUPPLY_CHAIN_CUSTOMERS_FULL_DATA")</f>
        <v/>
      </c>
      <c r="SQ5">
        <f>BDS("ALTR US Equity","SUPPLY_CHAIN_SUPPLIERS_FULL_DATA")</f>
        <v/>
      </c>
      <c r="TE5">
        <f>BDS("ALTR US Equity","SUPPLY_CHAIN_CUSTOMERS_FULL_DATA")</f>
        <v/>
      </c>
      <c r="TU5">
        <f>BDS("0948669D US Equity","SUPPLY_CHAIN_SUPPLIERS_FULL_DATA")</f>
        <v/>
      </c>
      <c r="UI5">
        <f>BDS("0948669D US Equity","SUPPLY_CHAIN_CUSTOMERS_FULL_DATA")</f>
        <v/>
      </c>
      <c r="UY5">
        <f>BDS("NBR US Equity","SUPPLY_CHAIN_SUPPLIERS_FULL_DATA")</f>
        <v/>
      </c>
      <c r="VM5">
        <f>BDS("NBR US Equity","SUPPLY_CHAIN_CUSTOMERS_FULL_DATA")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2921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2922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2923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2924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2925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2926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2927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2928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2929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2930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2931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2932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2933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2934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2935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2936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2937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2938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2939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2940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CG US Equity</t>
        </is>
      </c>
      <c r="AE2" s="3" t="inlineStr">
        <is>
          <t>SNPS US Equity</t>
        </is>
      </c>
      <c r="BI2" s="3" t="inlineStr">
        <is>
          <t>1718309D US Equity</t>
        </is>
      </c>
      <c r="CM2" s="3" t="inlineStr">
        <is>
          <t>2537769D US Equity</t>
        </is>
      </c>
      <c r="DQ2" s="3" t="inlineStr">
        <is>
          <t>F US Equity</t>
        </is>
      </c>
      <c r="EU2" s="3" t="inlineStr">
        <is>
          <t>ITXG US Equity</t>
        </is>
      </c>
      <c r="FY2" s="3" t="inlineStr">
        <is>
          <t>MBWM US Equity</t>
        </is>
      </c>
      <c r="HC2" s="3" t="inlineStr">
        <is>
          <t>BOOT IN Equity</t>
        </is>
      </c>
      <c r="IG2" s="3" t="inlineStr">
        <is>
          <t>PRGO US Equity</t>
        </is>
      </c>
      <c r="JK2" s="3" t="inlineStr">
        <is>
          <t>SUG US Equity</t>
        </is>
      </c>
      <c r="KO2" s="3" t="inlineStr">
        <is>
          <t>PFIS US Equity</t>
        </is>
      </c>
      <c r="LS2" s="3" t="inlineStr">
        <is>
          <t>WYPT US Equity</t>
        </is>
      </c>
      <c r="MW2" s="3" t="inlineStr">
        <is>
          <t>TTN US Equity</t>
        </is>
      </c>
      <c r="OA2" s="3" t="inlineStr">
        <is>
          <t>2724037Q US Equity</t>
        </is>
      </c>
      <c r="PE2" s="3" t="inlineStr">
        <is>
          <t>BRBS US Equity</t>
        </is>
      </c>
      <c r="QI2" s="3" t="inlineStr">
        <is>
          <t>CAR US Equity</t>
        </is>
      </c>
      <c r="RM2" s="3" t="inlineStr">
        <is>
          <t>CECO US Equity</t>
        </is>
      </c>
      <c r="SQ2" s="3" t="inlineStr">
        <is>
          <t>RLJE US Equity</t>
        </is>
      </c>
      <c r="TU2" s="3" t="inlineStr">
        <is>
          <t>RPR US Equity</t>
        </is>
      </c>
      <c r="UY2" s="3" t="inlineStr">
        <is>
          <t>2674129Q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BDS("CG US Equity","SUPPLY_CHAIN_SUPPLIERS_FULL_DATA")</f>
        <v/>
      </c>
      <c r="O5">
        <f>BDS("CG US Equity","SUPPLY_CHAIN_CUSTOMERS_FULL_DATA")</f>
        <v/>
      </c>
      <c r="AE5">
        <f>BDS("SNPS US Equity","SUPPLY_CHAIN_SUPPLIERS_FULL_DATA")</f>
        <v/>
      </c>
      <c r="AS5">
        <f>BDS("SNPS US Equity","SUPPLY_CHAIN_CUSTOMERS_FULL_DATA")</f>
        <v/>
      </c>
      <c r="BI5">
        <f>BDS("1718309D US Equity","SUPPLY_CHAIN_SUPPLIERS_FULL_DATA")</f>
        <v/>
      </c>
      <c r="BW5">
        <f>BDS("1718309D US Equity","SUPPLY_CHAIN_CUSTOMERS_FULL_DATA")</f>
        <v/>
      </c>
      <c r="CM5">
        <f>BDS("2537769D US Equity","SUPPLY_CHAIN_SUPPLIERS_FULL_DATA")</f>
        <v/>
      </c>
      <c r="DA5">
        <f>BDS("2537769D US Equity","SUPPLY_CHAIN_CUSTOMERS_FULL_DATA")</f>
        <v/>
      </c>
      <c r="DQ5">
        <f>BDS("F US Equity","SUPPLY_CHAIN_SUPPLIERS_FULL_DATA")</f>
        <v/>
      </c>
      <c r="EE5">
        <f>BDS("F US Equity","SUPPLY_CHAIN_CUSTOMERS_FULL_DATA")</f>
        <v/>
      </c>
      <c r="EU5">
        <f>BDS("ITXG US Equity","SUPPLY_CHAIN_SUPPLIERS_FULL_DATA")</f>
        <v/>
      </c>
      <c r="FI5">
        <f>BDS("ITXG US Equity","SUPPLY_CHAIN_CUSTOMERS_FULL_DATA")</f>
        <v/>
      </c>
      <c r="FY5">
        <f>BDS("MBWM US Equity","SUPPLY_CHAIN_SUPPLIERS_FULL_DATA")</f>
        <v/>
      </c>
      <c r="GM5">
        <f>BDS("MBWM US Equity","SUPPLY_CHAIN_CUSTOMERS_FULL_DATA")</f>
        <v/>
      </c>
      <c r="HC5">
        <f>BDS("BOOT IN Equity","SUPPLY_CHAIN_SUPPLIERS_FULL_DATA")</f>
        <v/>
      </c>
      <c r="HQ5">
        <f>BDS("BOOT IN Equity","SUPPLY_CHAIN_CUSTOMERS_FULL_DATA")</f>
        <v/>
      </c>
      <c r="IG5">
        <f>BDS("PRGO US Equity","SUPPLY_CHAIN_SUPPLIERS_FULL_DATA")</f>
        <v/>
      </c>
      <c r="IU5">
        <f>BDS("PRGO US Equity","SUPPLY_CHAIN_CUSTOMERS_FULL_DATA")</f>
        <v/>
      </c>
      <c r="JK5">
        <f>BDS("SUG US Equity","SUPPLY_CHAIN_SUPPLIERS_FULL_DATA")</f>
        <v/>
      </c>
      <c r="JY5">
        <f>BDS("SUG US Equity","SUPPLY_CHAIN_CUSTOMERS_FULL_DATA")</f>
        <v/>
      </c>
      <c r="KO5">
        <f>BDS("PFIS US Equity","SUPPLY_CHAIN_SUPPLIERS_FULL_DATA")</f>
        <v/>
      </c>
      <c r="LC5">
        <f>BDS("PFIS US Equity","SUPPLY_CHAIN_CUSTOMERS_FULL_DATA")</f>
        <v/>
      </c>
      <c r="LS5">
        <f>BDS("WYPT US Equity","SUPPLY_CHAIN_SUPPLIERS_FULL_DATA")</f>
        <v/>
      </c>
      <c r="MG5">
        <f>BDS("WYPT US Equity","SUPPLY_CHAIN_CUSTOMERS_FULL_DATA")</f>
        <v/>
      </c>
      <c r="MW5">
        <f>BDS("TTN US Equity","SUPPLY_CHAIN_SUPPLIERS_FULL_DATA")</f>
        <v/>
      </c>
      <c r="NK5">
        <f>BDS("TTN US Equity","SUPPLY_CHAIN_CUSTOMERS_FULL_DATA")</f>
        <v/>
      </c>
      <c r="OA5">
        <f>BDS("2724037Q US Equity","SUPPLY_CHAIN_SUPPLIERS_FULL_DATA")</f>
        <v/>
      </c>
      <c r="OO5">
        <f>BDS("2724037Q US Equity","SUPPLY_CHAIN_CUSTOMERS_FULL_DATA")</f>
        <v/>
      </c>
      <c r="PE5">
        <f>BDS("BRBS US Equity","SUPPLY_CHAIN_SUPPLIERS_FULL_DATA")</f>
        <v/>
      </c>
      <c r="PS5">
        <f>BDS("BRBS US Equity","SUPPLY_CHAIN_CUSTOMERS_FULL_DATA")</f>
        <v/>
      </c>
      <c r="QI5">
        <f>BDS("CAR US Equity","SUPPLY_CHAIN_SUPPLIERS_FULL_DATA")</f>
        <v/>
      </c>
      <c r="QW5">
        <f>BDS("CAR US Equity","SUPPLY_CHAIN_CUSTOMERS_FULL_DATA")</f>
        <v/>
      </c>
      <c r="RM5">
        <f>BDS("CECO US Equity","SUPPLY_CHAIN_SUPPLIERS_FULL_DATA")</f>
        <v/>
      </c>
      <c r="SA5">
        <f>BDS("CECO US Equity","SUPPLY_CHAIN_CUSTOMERS_FULL_DATA")</f>
        <v/>
      </c>
      <c r="SQ5">
        <f>BDS("RLJE US Equity","SUPPLY_CHAIN_SUPPLIERS_FULL_DATA")</f>
        <v/>
      </c>
      <c r="TE5">
        <f>BDS("RLJE US Equity","SUPPLY_CHAIN_CUSTOMERS_FULL_DATA")</f>
        <v/>
      </c>
      <c r="TU5">
        <f>BDS("RPR US Equity","SUPPLY_CHAIN_SUPPLIERS_FULL_DATA")</f>
        <v/>
      </c>
      <c r="UI5">
        <f>BDS("RPR US Equity","SUPPLY_CHAIN_CUSTOMERS_FULL_DATA")</f>
        <v/>
      </c>
      <c r="UY5">
        <f>BDS("2674129Q US Equity","SUPPLY_CHAIN_SUPPLIERS_FULL_DATA")</f>
        <v/>
      </c>
      <c r="VM5">
        <f>BDS("2674129Q US Equity","SUPPLY_CHAIN_CUSTOMERS_FULL_DATA")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2941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2942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2943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2944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2945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2946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2947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2948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2949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2950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2951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2952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2953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2954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2955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2956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2957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2958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2959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2960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BHC CN Equity</t>
        </is>
      </c>
      <c r="AE2" s="3" t="inlineStr">
        <is>
          <t>NL US Equity</t>
        </is>
      </c>
      <c r="BI2" s="3" t="inlineStr">
        <is>
          <t>VLY US Equity</t>
        </is>
      </c>
      <c r="CM2" s="3" t="inlineStr">
        <is>
          <t>CXW US Equity</t>
        </is>
      </c>
      <c r="DQ2" s="3" t="inlineStr">
        <is>
          <t>540513Q US Equity</t>
        </is>
      </c>
      <c r="EU2" s="3" t="inlineStr">
        <is>
          <t>BKS US Equity</t>
        </is>
      </c>
      <c r="FY2" s="3" t="inlineStr">
        <is>
          <t>IART US Equity</t>
        </is>
      </c>
      <c r="HC2" s="3" t="inlineStr">
        <is>
          <t>SNV US Equity</t>
        </is>
      </c>
      <c r="IG2" s="3" t="inlineStr">
        <is>
          <t>MTRM US Equity</t>
        </is>
      </c>
      <c r="JK2" s="3" t="inlineStr">
        <is>
          <t>ACTA US Equity</t>
        </is>
      </c>
      <c r="KO2" s="3" t="inlineStr">
        <is>
          <t>REGN US Equity</t>
        </is>
      </c>
      <c r="LS2" s="3" t="inlineStr">
        <is>
          <t>HSH US Equity</t>
        </is>
      </c>
      <c r="MW2" s="3" t="inlineStr">
        <is>
          <t>14394Z US Equity</t>
        </is>
      </c>
      <c r="OA2" s="3" t="inlineStr">
        <is>
          <t>9749933D US Equity</t>
        </is>
      </c>
      <c r="PE2" s="3" t="inlineStr">
        <is>
          <t>PFE US Equity</t>
        </is>
      </c>
      <c r="QI2" s="3" t="inlineStr">
        <is>
          <t>ORCL US Equity</t>
        </is>
      </c>
      <c r="RM2" s="3" t="inlineStr">
        <is>
          <t>MENT US Equity</t>
        </is>
      </c>
      <c r="SQ2" s="3" t="inlineStr">
        <is>
          <t>SWKH US Equity</t>
        </is>
      </c>
      <c r="TU2" s="3" t="inlineStr">
        <is>
          <t>GVCM US Equity</t>
        </is>
      </c>
      <c r="UY2" s="3" t="inlineStr">
        <is>
          <t>ORCL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BDS("BHC CN Equity","SUPPLY_CHAIN_SUPPLIERS_FULL_DATA")</f>
        <v/>
      </c>
      <c r="O5">
        <f>BDS("BHC CN Equity","SUPPLY_CHAIN_CUSTOMERS_FULL_DATA")</f>
        <v/>
      </c>
      <c r="AE5">
        <f>BDS("NL US Equity","SUPPLY_CHAIN_SUPPLIERS_FULL_DATA")</f>
        <v/>
      </c>
      <c r="AS5">
        <f>BDS("NL US Equity","SUPPLY_CHAIN_CUSTOMERS_FULL_DATA")</f>
        <v/>
      </c>
      <c r="BI5">
        <f>BDS("VLY US Equity","SUPPLY_CHAIN_SUPPLIERS_FULL_DATA")</f>
        <v/>
      </c>
      <c r="BW5">
        <f>BDS("VLY US Equity","SUPPLY_CHAIN_CUSTOMERS_FULL_DATA")</f>
        <v/>
      </c>
      <c r="CM5">
        <f>BDS("CXW US Equity","SUPPLY_CHAIN_SUPPLIERS_FULL_DATA")</f>
        <v/>
      </c>
      <c r="DA5">
        <f>BDS("CXW US Equity","SUPPLY_CHAIN_CUSTOMERS_FULL_DATA")</f>
        <v/>
      </c>
      <c r="DQ5">
        <f>BDS("540513Q US Equity","SUPPLY_CHAIN_SUPPLIERS_FULL_DATA")</f>
        <v/>
      </c>
      <c r="EE5">
        <f>BDS("540513Q US Equity","SUPPLY_CHAIN_CUSTOMERS_FULL_DATA")</f>
        <v/>
      </c>
      <c r="EU5">
        <f>BDS("BKS US Equity","SUPPLY_CHAIN_SUPPLIERS_FULL_DATA")</f>
        <v/>
      </c>
      <c r="FI5">
        <f>BDS("BKS US Equity","SUPPLY_CHAIN_CUSTOMERS_FULL_DATA")</f>
        <v/>
      </c>
      <c r="FY5">
        <f>BDS("IART US Equity","SUPPLY_CHAIN_SUPPLIERS_FULL_DATA")</f>
        <v/>
      </c>
      <c r="GM5">
        <f>BDS("IART US Equity","SUPPLY_CHAIN_CUSTOMERS_FULL_DATA")</f>
        <v/>
      </c>
      <c r="HC5">
        <f>BDS("SNV US Equity","SUPPLY_CHAIN_SUPPLIERS_FULL_DATA")</f>
        <v/>
      </c>
      <c r="HQ5">
        <f>BDS("SNV US Equity","SUPPLY_CHAIN_CUSTOMERS_FULL_DATA")</f>
        <v/>
      </c>
      <c r="IG5">
        <f>BDS("MTRM US Equity","SUPPLY_CHAIN_SUPPLIERS_FULL_DATA")</f>
        <v/>
      </c>
      <c r="IU5">
        <f>BDS("MTRM US Equity","SUPPLY_CHAIN_CUSTOMERS_FULL_DATA")</f>
        <v/>
      </c>
      <c r="JK5">
        <f>BDS("ACTA US Equity","SUPPLY_CHAIN_SUPPLIERS_FULL_DATA")</f>
        <v/>
      </c>
      <c r="JY5">
        <f>BDS("ACTA US Equity","SUPPLY_CHAIN_CUSTOMERS_FULL_DATA")</f>
        <v/>
      </c>
      <c r="KO5">
        <f>BDS("REGN US Equity","SUPPLY_CHAIN_SUPPLIERS_FULL_DATA")</f>
        <v/>
      </c>
      <c r="LC5">
        <f>BDS("REGN US Equity","SUPPLY_CHAIN_CUSTOMERS_FULL_DATA")</f>
        <v/>
      </c>
      <c r="LS5">
        <f>BDS("HSH US Equity","SUPPLY_CHAIN_SUPPLIERS_FULL_DATA")</f>
        <v/>
      </c>
      <c r="MG5">
        <f>BDS("HSH US Equity","SUPPLY_CHAIN_CUSTOMERS_FULL_DATA")</f>
        <v/>
      </c>
      <c r="MW5">
        <f>BDS("14394Z US Equity","SUPPLY_CHAIN_SUPPLIERS_FULL_DATA")</f>
        <v/>
      </c>
      <c r="NK5">
        <f>BDS("14394Z US Equity","SUPPLY_CHAIN_CUSTOMERS_FULL_DATA")</f>
        <v/>
      </c>
      <c r="OA5">
        <f>BDS("9749933D US Equity","SUPPLY_CHAIN_SUPPLIERS_FULL_DATA")</f>
        <v/>
      </c>
      <c r="OO5">
        <f>BDS("9749933D US Equity","SUPPLY_CHAIN_CUSTOMERS_FULL_DATA")</f>
        <v/>
      </c>
      <c r="PE5">
        <f>BDS("PFE US Equity","SUPPLY_CHAIN_SUPPLIERS_FULL_DATA")</f>
        <v/>
      </c>
      <c r="PS5">
        <f>BDS("PFE US Equity","SUPPLY_CHAIN_CUSTOMERS_FULL_DATA")</f>
        <v/>
      </c>
      <c r="QI5">
        <f>BDS("ORCL US Equity","SUPPLY_CHAIN_SUPPLIERS_FULL_DATA")</f>
        <v/>
      </c>
      <c r="QW5">
        <f>BDS("ORCL US Equity","SUPPLY_CHAIN_CUSTOMERS_FULL_DATA")</f>
        <v/>
      </c>
      <c r="RM5">
        <f>BDS("MENT US Equity","SUPPLY_CHAIN_SUPPLIERS_FULL_DATA")</f>
        <v/>
      </c>
      <c r="SA5">
        <f>BDS("MENT US Equity","SUPPLY_CHAIN_CUSTOMERS_FULL_DATA")</f>
        <v/>
      </c>
      <c r="SQ5">
        <f>BDS("SWKH US Equity","SUPPLY_CHAIN_SUPPLIERS_FULL_DATA")</f>
        <v/>
      </c>
      <c r="TE5">
        <f>BDS("SWKH US Equity","SUPPLY_CHAIN_CUSTOMERS_FULL_DATA")</f>
        <v/>
      </c>
      <c r="TU5">
        <f>BDS("GVCM US Equity","SUPPLY_CHAIN_SUPPLIERS_FULL_DATA")</f>
        <v/>
      </c>
      <c r="UI5">
        <f>BDS("GVCM US Equity","SUPPLY_CHAIN_CUSTOMERS_FULL_DATA")</f>
        <v/>
      </c>
      <c r="UY5">
        <f>BDS("ORCL US Equity","SUPPLY_CHAIN_SUPPLIERS_FULL_DATA")</f>
        <v/>
      </c>
      <c r="VM5">
        <f>BDS("ORCL US Equity","SUPPLY_CHAIN_CUSTOMERS_FULL_DATA")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2961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2962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2963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2964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2965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2966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2967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2968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2969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2970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2971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2972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2973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2974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2975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2976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2977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2978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2979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2980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CMS US Equity</t>
        </is>
      </c>
      <c r="AE2" s="3" t="inlineStr">
        <is>
          <t>THEGQ US Equity</t>
        </is>
      </c>
      <c r="BI2" s="3" t="inlineStr">
        <is>
          <t>TSFG US Equity</t>
        </is>
      </c>
      <c r="CM2" s="3" t="inlineStr">
        <is>
          <t>HRBT US Equity</t>
        </is>
      </c>
      <c r="DQ2" s="3" t="inlineStr">
        <is>
          <t>IBKC US Equity</t>
        </is>
      </c>
      <c r="EU2" s="3" t="inlineStr">
        <is>
          <t>nan Equity</t>
        </is>
      </c>
      <c r="FY2" s="3" t="inlineStr">
        <is>
          <t>FNFG US Equity</t>
        </is>
      </c>
      <c r="HC2" s="3" t="inlineStr">
        <is>
          <t>STBA US Equity</t>
        </is>
      </c>
      <c r="IG2" s="3" t="inlineStr">
        <is>
          <t>MTSN US Equity</t>
        </is>
      </c>
      <c r="JK2" s="3" t="inlineStr">
        <is>
          <t>UNBJ US Equity</t>
        </is>
      </c>
      <c r="KO2" s="3" t="inlineStr">
        <is>
          <t>3023927Q US Equity</t>
        </is>
      </c>
      <c r="LS2" s="3" t="inlineStr">
        <is>
          <t>4131117Q US Equity</t>
        </is>
      </c>
      <c r="MW2" s="3" t="inlineStr">
        <is>
          <t>NTBKQ US Equity</t>
        </is>
      </c>
      <c r="OA2" s="3" t="inlineStr">
        <is>
          <t>MOGN US Equity</t>
        </is>
      </c>
      <c r="PE2" s="3" t="inlineStr">
        <is>
          <t>SITC US Equity</t>
        </is>
      </c>
      <c r="QI2" s="3" t="inlineStr">
        <is>
          <t>CBC US Equity</t>
        </is>
      </c>
      <c r="RM2" s="3" t="inlineStr">
        <is>
          <t>ABCWQ US Equity</t>
        </is>
      </c>
      <c r="SQ2" s="3" t="inlineStr">
        <is>
          <t>BNCN US Equity</t>
        </is>
      </c>
      <c r="TU2" s="3" t="inlineStr">
        <is>
          <t>STZ US Equity</t>
        </is>
      </c>
      <c r="UY2" s="3" t="inlineStr">
        <is>
          <t>CRLL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BDS("CMS US Equity","SUPPLY_CHAIN_SUPPLIERS_FULL_DATA")</f>
        <v/>
      </c>
      <c r="O5">
        <f>BDS("CMS US Equity","SUPPLY_CHAIN_CUSTOMERS_FULL_DATA")</f>
        <v/>
      </c>
      <c r="AE5">
        <f>BDS("THEGQ US Equity","SUPPLY_CHAIN_SUPPLIERS_FULL_DATA")</f>
        <v/>
      </c>
      <c r="AS5">
        <f>BDS("THEGQ US Equity","SUPPLY_CHAIN_CUSTOMERS_FULL_DATA")</f>
        <v/>
      </c>
      <c r="BI5">
        <f>BDS("TSFG US Equity","SUPPLY_CHAIN_SUPPLIERS_FULL_DATA")</f>
        <v/>
      </c>
      <c r="BW5">
        <f>BDS("TSFG US Equity","SUPPLY_CHAIN_CUSTOMERS_FULL_DATA")</f>
        <v/>
      </c>
      <c r="CM5">
        <f>BDS("HRBT US Equity","SUPPLY_CHAIN_SUPPLIERS_FULL_DATA")</f>
        <v/>
      </c>
      <c r="DA5">
        <f>BDS("HRBT US Equity","SUPPLY_CHAIN_CUSTOMERS_FULL_DATA")</f>
        <v/>
      </c>
      <c r="DQ5">
        <f>BDS("IBKC US Equity","SUPPLY_CHAIN_SUPPLIERS_FULL_DATA")</f>
        <v/>
      </c>
      <c r="EE5">
        <f>BDS("IBKC US Equity","SUPPLY_CHAIN_CUSTOMERS_FULL_DATA")</f>
        <v/>
      </c>
      <c r="EU5">
        <f>BDS("nan Equity","SUPPLY_CHAIN_SUPPLIERS_FULL_DATA")</f>
        <v/>
      </c>
      <c r="FI5">
        <f>BDS("nan Equity","SUPPLY_CHAIN_CUSTOMERS_FULL_DATA")</f>
        <v/>
      </c>
      <c r="FY5">
        <f>BDS("FNFG US Equity","SUPPLY_CHAIN_SUPPLIERS_FULL_DATA")</f>
        <v/>
      </c>
      <c r="GM5">
        <f>BDS("FNFG US Equity","SUPPLY_CHAIN_CUSTOMERS_FULL_DATA")</f>
        <v/>
      </c>
      <c r="HC5">
        <f>BDS("STBA US Equity","SUPPLY_CHAIN_SUPPLIERS_FULL_DATA")</f>
        <v/>
      </c>
      <c r="HQ5">
        <f>BDS("STBA US Equity","SUPPLY_CHAIN_CUSTOMERS_FULL_DATA")</f>
        <v/>
      </c>
      <c r="IG5">
        <f>BDS("MTSN US Equity","SUPPLY_CHAIN_SUPPLIERS_FULL_DATA")</f>
        <v/>
      </c>
      <c r="IU5">
        <f>BDS("MTSN US Equity","SUPPLY_CHAIN_CUSTOMERS_FULL_DATA")</f>
        <v/>
      </c>
      <c r="JK5">
        <f>BDS("UNBJ US Equity","SUPPLY_CHAIN_SUPPLIERS_FULL_DATA")</f>
        <v/>
      </c>
      <c r="JY5">
        <f>BDS("UNBJ US Equity","SUPPLY_CHAIN_CUSTOMERS_FULL_DATA")</f>
        <v/>
      </c>
      <c r="KO5">
        <f>BDS("3023927Q US Equity","SUPPLY_CHAIN_SUPPLIERS_FULL_DATA")</f>
        <v/>
      </c>
      <c r="LC5">
        <f>BDS("3023927Q US Equity","SUPPLY_CHAIN_CUSTOMERS_FULL_DATA")</f>
        <v/>
      </c>
      <c r="LS5">
        <f>BDS("4131117Q US Equity","SUPPLY_CHAIN_SUPPLIERS_FULL_DATA")</f>
        <v/>
      </c>
      <c r="MG5">
        <f>BDS("4131117Q US Equity","SUPPLY_CHAIN_CUSTOMERS_FULL_DATA")</f>
        <v/>
      </c>
      <c r="MW5">
        <f>BDS("NTBKQ US Equity","SUPPLY_CHAIN_SUPPLIERS_FULL_DATA")</f>
        <v/>
      </c>
      <c r="NK5">
        <f>BDS("NTBKQ US Equity","SUPPLY_CHAIN_CUSTOMERS_FULL_DATA")</f>
        <v/>
      </c>
      <c r="OA5">
        <f>BDS("MOGN US Equity","SUPPLY_CHAIN_SUPPLIERS_FULL_DATA")</f>
        <v/>
      </c>
      <c r="OO5">
        <f>BDS("MOGN US Equity","SUPPLY_CHAIN_CUSTOMERS_FULL_DATA")</f>
        <v/>
      </c>
      <c r="PE5">
        <f>BDS("SITC US Equity","SUPPLY_CHAIN_SUPPLIERS_FULL_DATA")</f>
        <v/>
      </c>
      <c r="PS5">
        <f>BDS("SITC US Equity","SUPPLY_CHAIN_CUSTOMERS_FULL_DATA")</f>
        <v/>
      </c>
      <c r="QI5">
        <f>BDS("CBC US Equity","SUPPLY_CHAIN_SUPPLIERS_FULL_DATA")</f>
        <v/>
      </c>
      <c r="QW5">
        <f>BDS("CBC US Equity","SUPPLY_CHAIN_CUSTOMERS_FULL_DATA")</f>
        <v/>
      </c>
      <c r="RM5">
        <f>BDS("ABCWQ US Equity","SUPPLY_CHAIN_SUPPLIERS_FULL_DATA")</f>
        <v/>
      </c>
      <c r="SA5">
        <f>BDS("ABCWQ US Equity","SUPPLY_CHAIN_CUSTOMERS_FULL_DATA")</f>
        <v/>
      </c>
      <c r="SQ5">
        <f>BDS("BNCN US Equity","SUPPLY_CHAIN_SUPPLIERS_FULL_DATA")</f>
        <v/>
      </c>
      <c r="TE5">
        <f>BDS("BNCN US Equity","SUPPLY_CHAIN_CUSTOMERS_FULL_DATA")</f>
        <v/>
      </c>
      <c r="TU5">
        <f>BDS("STZ US Equity","SUPPLY_CHAIN_SUPPLIERS_FULL_DATA")</f>
        <v/>
      </c>
      <c r="UI5">
        <f>BDS("STZ US Equity","SUPPLY_CHAIN_CUSTOMERS_FULL_DATA")</f>
        <v/>
      </c>
      <c r="UY5">
        <f>BDS("CRLL US Equity","SUPPLY_CHAIN_SUPPLIERS_FULL_DATA")</f>
        <v/>
      </c>
      <c r="VM5">
        <f>BDS("CRLL US Equity","SUPPLY_CHAIN_CUSTOMERS_FULL_DATA")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2981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2982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2983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2984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2985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2986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2987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2988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2989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2990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2991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2992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2993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2994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2995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2996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2997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2998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2999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3000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2258717D US Equity</t>
        </is>
      </c>
      <c r="AE2" s="3" t="inlineStr">
        <is>
          <t>PACW US Equity</t>
        </is>
      </c>
      <c r="BI2" s="3" t="inlineStr">
        <is>
          <t>DY US Equity</t>
        </is>
      </c>
      <c r="CM2" s="3" t="inlineStr">
        <is>
          <t>CECO US Equity</t>
        </is>
      </c>
      <c r="DQ2" s="3" t="inlineStr">
        <is>
          <t>3537Q US Equity</t>
        </is>
      </c>
      <c r="EU2" s="3" t="inlineStr">
        <is>
          <t>HPQ US Equity</t>
        </is>
      </c>
      <c r="FY2" s="3" t="inlineStr">
        <is>
          <t>DVXE US Equity</t>
        </is>
      </c>
      <c r="HC2" s="3" t="inlineStr">
        <is>
          <t>CNXC US Equity</t>
        </is>
      </c>
      <c r="IG2" s="3" t="inlineStr">
        <is>
          <t>MSI US Equity</t>
        </is>
      </c>
      <c r="JK2" s="3" t="inlineStr">
        <is>
          <t>WFBC US Equity</t>
        </is>
      </c>
      <c r="KO2" s="3" t="inlineStr">
        <is>
          <t>1551989D US Equity</t>
        </is>
      </c>
      <c r="LS2" s="3" t="inlineStr">
        <is>
          <t>DK US Equity</t>
        </is>
      </c>
      <c r="MW2" s="3" t="inlineStr">
        <is>
          <t>GE US Equity</t>
        </is>
      </c>
      <c r="OA2" s="3" t="inlineStr">
        <is>
          <t>IEP US Equity</t>
        </is>
      </c>
      <c r="PE2" s="3" t="inlineStr">
        <is>
          <t>EASY US Equity</t>
        </is>
      </c>
      <c r="QI2" s="3" t="inlineStr">
        <is>
          <t>EFII US Equity</t>
        </is>
      </c>
      <c r="RM2" s="3" t="inlineStr">
        <is>
          <t>CACB US Equity</t>
        </is>
      </c>
      <c r="SQ2" s="3" t="inlineStr">
        <is>
          <t>ABCB US Equity</t>
        </is>
      </c>
      <c r="TU2" s="3" t="inlineStr">
        <is>
          <t>UMPQ US Equity</t>
        </is>
      </c>
      <c r="UY2" s="3" t="inlineStr">
        <is>
          <t>ENDPQ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BDS("2258717D US Equity","SUPPLY_CHAIN_SUPPLIERS_FULL_DATA")</f>
        <v/>
      </c>
      <c r="O5">
        <f>BDS("2258717D US Equity","SUPPLY_CHAIN_CUSTOMERS_FULL_DATA")</f>
        <v/>
      </c>
      <c r="AE5">
        <f>BDS("PACW US Equity","SUPPLY_CHAIN_SUPPLIERS_FULL_DATA")</f>
        <v/>
      </c>
      <c r="AS5">
        <f>BDS("PACW US Equity","SUPPLY_CHAIN_CUSTOMERS_FULL_DATA")</f>
        <v/>
      </c>
      <c r="BI5">
        <f>BDS("DY US Equity","SUPPLY_CHAIN_SUPPLIERS_FULL_DATA")</f>
        <v/>
      </c>
      <c r="BW5">
        <f>BDS("DY US Equity","SUPPLY_CHAIN_CUSTOMERS_FULL_DATA")</f>
        <v/>
      </c>
      <c r="CM5">
        <f>BDS("CECO US Equity","SUPPLY_CHAIN_SUPPLIERS_FULL_DATA")</f>
        <v/>
      </c>
      <c r="DA5">
        <f>BDS("CECO US Equity","SUPPLY_CHAIN_CUSTOMERS_FULL_DATA")</f>
        <v/>
      </c>
      <c r="DQ5">
        <f>BDS("3537Q US Equity","SUPPLY_CHAIN_SUPPLIERS_FULL_DATA")</f>
        <v/>
      </c>
      <c r="EE5">
        <f>BDS("3537Q US Equity","SUPPLY_CHAIN_CUSTOMERS_FULL_DATA")</f>
        <v/>
      </c>
      <c r="EU5">
        <f>BDS("HPQ US Equity","SUPPLY_CHAIN_SUPPLIERS_FULL_DATA")</f>
        <v/>
      </c>
      <c r="FI5">
        <f>BDS("HPQ US Equity","SUPPLY_CHAIN_CUSTOMERS_FULL_DATA")</f>
        <v/>
      </c>
      <c r="FY5">
        <f>BDS("DVXE US Equity","SUPPLY_CHAIN_SUPPLIERS_FULL_DATA")</f>
        <v/>
      </c>
      <c r="GM5">
        <f>BDS("DVXE US Equity","SUPPLY_CHAIN_CUSTOMERS_FULL_DATA")</f>
        <v/>
      </c>
      <c r="HC5">
        <f>BDS("CNXC US Equity","SUPPLY_CHAIN_SUPPLIERS_FULL_DATA")</f>
        <v/>
      </c>
      <c r="HQ5">
        <f>BDS("CNXC US Equity","SUPPLY_CHAIN_CUSTOMERS_FULL_DATA")</f>
        <v/>
      </c>
      <c r="IG5">
        <f>BDS("MSI US Equity","SUPPLY_CHAIN_SUPPLIERS_FULL_DATA")</f>
        <v/>
      </c>
      <c r="IU5">
        <f>BDS("MSI US Equity","SUPPLY_CHAIN_CUSTOMERS_FULL_DATA")</f>
        <v/>
      </c>
      <c r="JK5">
        <f>BDS("WFBC US Equity","SUPPLY_CHAIN_SUPPLIERS_FULL_DATA")</f>
        <v/>
      </c>
      <c r="JY5">
        <f>BDS("WFBC US Equity","SUPPLY_CHAIN_CUSTOMERS_FULL_DATA")</f>
        <v/>
      </c>
      <c r="KO5">
        <f>BDS("1551989D US Equity","SUPPLY_CHAIN_SUPPLIERS_FULL_DATA")</f>
        <v/>
      </c>
      <c r="LC5">
        <f>BDS("1551989D US Equity","SUPPLY_CHAIN_CUSTOMERS_FULL_DATA")</f>
        <v/>
      </c>
      <c r="LS5">
        <f>BDS("DK US Equity","SUPPLY_CHAIN_SUPPLIERS_FULL_DATA")</f>
        <v/>
      </c>
      <c r="MG5">
        <f>BDS("DK US Equity","SUPPLY_CHAIN_CUSTOMERS_FULL_DATA")</f>
        <v/>
      </c>
      <c r="MW5">
        <f>BDS("GE US Equity","SUPPLY_CHAIN_SUPPLIERS_FULL_DATA")</f>
        <v/>
      </c>
      <c r="NK5">
        <f>BDS("GE US Equity","SUPPLY_CHAIN_CUSTOMERS_FULL_DATA")</f>
        <v/>
      </c>
      <c r="OA5">
        <f>BDS("IEP US Equity","SUPPLY_CHAIN_SUPPLIERS_FULL_DATA")</f>
        <v/>
      </c>
      <c r="OO5">
        <f>BDS("IEP US Equity","SUPPLY_CHAIN_CUSTOMERS_FULL_DATA")</f>
        <v/>
      </c>
      <c r="PE5">
        <f>BDS("EASY US Equity","SUPPLY_CHAIN_SUPPLIERS_FULL_DATA")</f>
        <v/>
      </c>
      <c r="PS5">
        <f>BDS("EASY US Equity","SUPPLY_CHAIN_CUSTOMERS_FULL_DATA")</f>
        <v/>
      </c>
      <c r="QI5">
        <f>BDS("EFII US Equity","SUPPLY_CHAIN_SUPPLIERS_FULL_DATA")</f>
        <v/>
      </c>
      <c r="QW5">
        <f>BDS("EFII US Equity","SUPPLY_CHAIN_CUSTOMERS_FULL_DATA")</f>
        <v/>
      </c>
      <c r="RM5">
        <f>BDS("CACB US Equity","SUPPLY_CHAIN_SUPPLIERS_FULL_DATA")</f>
        <v/>
      </c>
      <c r="SA5">
        <f>BDS("CACB US Equity","SUPPLY_CHAIN_CUSTOMERS_FULL_DATA")</f>
        <v/>
      </c>
      <c r="SQ5">
        <f>BDS("ABCB US Equity","SUPPLY_CHAIN_SUPPLIERS_FULL_DATA")</f>
        <v/>
      </c>
      <c r="TE5">
        <f>BDS("ABCB US Equity","SUPPLY_CHAIN_CUSTOMERS_FULL_DATA")</f>
        <v/>
      </c>
      <c r="TU5">
        <f>BDS("UMPQ US Equity","SUPPLY_CHAIN_SUPPLIERS_FULL_DATA")</f>
        <v/>
      </c>
      <c r="UI5">
        <f>BDS("UMPQ US Equity","SUPPLY_CHAIN_CUSTOMERS_FULL_DATA")</f>
        <v/>
      </c>
      <c r="UY5">
        <f>BDS("ENDPQ US Equity","SUPPLY_CHAIN_SUPPLIERS_FULL_DATA")</f>
        <v/>
      </c>
      <c r="VM5">
        <f>BDS("ENDPQ US Equity","SUPPLY_CHAIN_CUSTOMERS_FULL_DATA")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3002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3003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3004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3005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3006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3007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3008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3009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3010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3011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3012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3013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3014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3015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3016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3017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3018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3019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3020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CEIN US Equity</t>
        </is>
      </c>
      <c r="AE2" s="3" t="inlineStr">
        <is>
          <t>NPBC US Equity</t>
        </is>
      </c>
      <c r="BI2" s="3" t="inlineStr">
        <is>
          <t>nan Equity</t>
        </is>
      </c>
      <c r="CM2" s="3" t="inlineStr">
        <is>
          <t>STL US Equity</t>
        </is>
      </c>
      <c r="DQ2" s="3" t="inlineStr">
        <is>
          <t>PLAB US Equity</t>
        </is>
      </c>
      <c r="EU2" s="3" t="inlineStr">
        <is>
          <t>2676187Q US Equity</t>
        </is>
      </c>
      <c r="FY2" s="3" t="inlineStr">
        <is>
          <t>KMAGQ US Equity</t>
        </is>
      </c>
      <c r="HC2" s="3" t="inlineStr">
        <is>
          <t>NWBI US Equity</t>
        </is>
      </c>
      <c r="IG2" s="3" t="inlineStr">
        <is>
          <t>XCRA US Equity</t>
        </is>
      </c>
      <c r="JK2" s="3" t="inlineStr">
        <is>
          <t>1916526D US Equity</t>
        </is>
      </c>
      <c r="KO2" s="3" t="inlineStr">
        <is>
          <t>OCFC US Equity</t>
        </is>
      </c>
      <c r="LS2" s="3" t="inlineStr">
        <is>
          <t>NUAN US Equity</t>
        </is>
      </c>
      <c r="MW2" s="3" t="inlineStr">
        <is>
          <t>653707Q US Equity</t>
        </is>
      </c>
      <c r="OA2" s="3" t="inlineStr">
        <is>
          <t>FCPR US Equity</t>
        </is>
      </c>
      <c r="PE2" s="3" t="inlineStr">
        <is>
          <t>1894768D US Equity</t>
        </is>
      </c>
      <c r="QI2" s="3" t="inlineStr">
        <is>
          <t>3354388Q US Equity</t>
        </is>
      </c>
      <c r="RM2" s="3" t="inlineStr">
        <is>
          <t>FOR US Equity</t>
        </is>
      </c>
      <c r="SQ2" s="3" t="inlineStr">
        <is>
          <t>WAXS US Equity</t>
        </is>
      </c>
      <c r="TU2" s="3" t="inlineStr">
        <is>
          <t>BAX US Equity</t>
        </is>
      </c>
      <c r="UY2" s="3" t="inlineStr">
        <is>
          <t>FCGI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BDS("CEIN US Equity","SUPPLY_CHAIN_SUPPLIERS_FULL_DATA")</f>
        <v/>
      </c>
      <c r="O5">
        <f>BDS("CEIN US Equity","SUPPLY_CHAIN_CUSTOMERS_FULL_DATA")</f>
        <v/>
      </c>
      <c r="AE5">
        <f>BDS("NPBC US Equity","SUPPLY_CHAIN_SUPPLIERS_FULL_DATA")</f>
        <v/>
      </c>
      <c r="AS5">
        <f>BDS("NPBC US Equity","SUPPLY_CHAIN_CUSTOMERS_FULL_DATA")</f>
        <v/>
      </c>
      <c r="BI5">
        <f>BDS("nan Equity","SUPPLY_CHAIN_SUPPLIERS_FULL_DATA")</f>
        <v/>
      </c>
      <c r="BW5">
        <f>BDS("nan Equity","SUPPLY_CHAIN_CUSTOMERS_FULL_DATA")</f>
        <v/>
      </c>
      <c r="CM5">
        <f>BDS("STL US Equity","SUPPLY_CHAIN_SUPPLIERS_FULL_DATA")</f>
        <v/>
      </c>
      <c r="DA5">
        <f>BDS("STL US Equity","SUPPLY_CHAIN_CUSTOMERS_FULL_DATA")</f>
        <v/>
      </c>
      <c r="DQ5">
        <f>BDS("PLAB US Equity","SUPPLY_CHAIN_SUPPLIERS_FULL_DATA")</f>
        <v/>
      </c>
      <c r="EE5">
        <f>BDS("PLAB US Equity","SUPPLY_CHAIN_CUSTOMERS_FULL_DATA")</f>
        <v/>
      </c>
      <c r="EU5">
        <f>BDS("2676187Q US Equity","SUPPLY_CHAIN_SUPPLIERS_FULL_DATA")</f>
        <v/>
      </c>
      <c r="FI5">
        <f>BDS("2676187Q US Equity","SUPPLY_CHAIN_CUSTOMERS_FULL_DATA")</f>
        <v/>
      </c>
      <c r="FY5">
        <f>BDS("KMAGQ US Equity","SUPPLY_CHAIN_SUPPLIERS_FULL_DATA")</f>
        <v/>
      </c>
      <c r="GM5">
        <f>BDS("KMAGQ US Equity","SUPPLY_CHAIN_CUSTOMERS_FULL_DATA")</f>
        <v/>
      </c>
      <c r="HC5">
        <f>BDS("NWBI US Equity","SUPPLY_CHAIN_SUPPLIERS_FULL_DATA")</f>
        <v/>
      </c>
      <c r="HQ5">
        <f>BDS("NWBI US Equity","SUPPLY_CHAIN_CUSTOMERS_FULL_DATA")</f>
        <v/>
      </c>
      <c r="IG5">
        <f>BDS("XCRA US Equity","SUPPLY_CHAIN_SUPPLIERS_FULL_DATA")</f>
        <v/>
      </c>
      <c r="IU5">
        <f>BDS("XCRA US Equity","SUPPLY_CHAIN_CUSTOMERS_FULL_DATA")</f>
        <v/>
      </c>
      <c r="JK5">
        <f>BDS("1916526D US Equity","SUPPLY_CHAIN_SUPPLIERS_FULL_DATA")</f>
        <v/>
      </c>
      <c r="JY5">
        <f>BDS("1916526D US Equity","SUPPLY_CHAIN_CUSTOMERS_FULL_DATA")</f>
        <v/>
      </c>
      <c r="KO5">
        <f>BDS("OCFC US Equity","SUPPLY_CHAIN_SUPPLIERS_FULL_DATA")</f>
        <v/>
      </c>
      <c r="LC5">
        <f>BDS("OCFC US Equity","SUPPLY_CHAIN_CUSTOMERS_FULL_DATA")</f>
        <v/>
      </c>
      <c r="LS5">
        <f>BDS("NUAN US Equity","SUPPLY_CHAIN_SUPPLIERS_FULL_DATA")</f>
        <v/>
      </c>
      <c r="MG5">
        <f>BDS("NUAN US Equity","SUPPLY_CHAIN_CUSTOMERS_FULL_DATA")</f>
        <v/>
      </c>
      <c r="MW5">
        <f>BDS("653707Q US Equity","SUPPLY_CHAIN_SUPPLIERS_FULL_DATA")</f>
        <v/>
      </c>
      <c r="NK5">
        <f>BDS("653707Q US Equity","SUPPLY_CHAIN_CUSTOMERS_FULL_DATA")</f>
        <v/>
      </c>
      <c r="OA5">
        <f>BDS("FCPR US Equity","SUPPLY_CHAIN_SUPPLIERS_FULL_DATA")</f>
        <v/>
      </c>
      <c r="OO5">
        <f>BDS("FCPR US Equity","SUPPLY_CHAIN_CUSTOMERS_FULL_DATA")</f>
        <v/>
      </c>
      <c r="PE5">
        <f>BDS("1894768D US Equity","SUPPLY_CHAIN_SUPPLIERS_FULL_DATA")</f>
        <v/>
      </c>
      <c r="PS5">
        <f>BDS("1894768D US Equity","SUPPLY_CHAIN_CUSTOMERS_FULL_DATA")</f>
        <v/>
      </c>
      <c r="QI5">
        <f>BDS("3354388Q US Equity","SUPPLY_CHAIN_SUPPLIERS_FULL_DATA")</f>
        <v/>
      </c>
      <c r="QW5">
        <f>BDS("3354388Q US Equity","SUPPLY_CHAIN_CUSTOMERS_FULL_DATA")</f>
        <v/>
      </c>
      <c r="RM5">
        <f>BDS("FOR US Equity","SUPPLY_CHAIN_SUPPLIERS_FULL_DATA")</f>
        <v/>
      </c>
      <c r="SA5">
        <f>BDS("FOR US Equity","SUPPLY_CHAIN_CUSTOMERS_FULL_DATA")</f>
        <v/>
      </c>
      <c r="SQ5">
        <f>BDS("WAXS US Equity","SUPPLY_CHAIN_SUPPLIERS_FULL_DATA")</f>
        <v/>
      </c>
      <c r="TE5">
        <f>BDS("WAXS US Equity","SUPPLY_CHAIN_CUSTOMERS_FULL_DATA")</f>
        <v/>
      </c>
      <c r="TU5">
        <f>BDS("BAX US Equity","SUPPLY_CHAIN_SUPPLIERS_FULL_DATA")</f>
        <v/>
      </c>
      <c r="UI5">
        <f>BDS("BAX US Equity","SUPPLY_CHAIN_CUSTOMERS_FULL_DATA")</f>
        <v/>
      </c>
      <c r="UY5">
        <f>BDS("FCGI US Equity","SUPPLY_CHAIN_SUPPLIERS_FULL_DATA")</f>
        <v/>
      </c>
      <c r="VM5">
        <f>BDS("FCGI US Equity","SUPPLY_CHAIN_CUSTOMERS_FULL_DATA")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3022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3023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3024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3025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3026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3027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3028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3029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3030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3031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3032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3033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3034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3035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3036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3037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3038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3039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3040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IT US Equity</t>
        </is>
      </c>
      <c r="AE2" s="3" t="inlineStr">
        <is>
          <t>FCBN US Equity</t>
        </is>
      </c>
      <c r="BI2" s="3" t="inlineStr">
        <is>
          <t>EWBC US Equity</t>
        </is>
      </c>
      <c r="CM2" s="3" t="inlineStr">
        <is>
          <t>1073675D US Equity</t>
        </is>
      </c>
      <c r="DQ2" s="3" t="inlineStr">
        <is>
          <t>SCFS US Equity</t>
        </is>
      </c>
      <c r="EU2" s="3" t="inlineStr">
        <is>
          <t>BBT US Equity</t>
        </is>
      </c>
      <c r="FY2" s="3" t="inlineStr">
        <is>
          <t>RNST US Equity</t>
        </is>
      </c>
      <c r="HC2" s="3" t="inlineStr">
        <is>
          <t>FLO US Equity</t>
        </is>
      </c>
      <c r="IG2" s="3" t="inlineStr">
        <is>
          <t>IWOV US Equity</t>
        </is>
      </c>
      <c r="JK2" s="3" t="inlineStr">
        <is>
          <t>AMFH US Equity</t>
        </is>
      </c>
      <c r="KO2" s="3" t="inlineStr">
        <is>
          <t>WINMQ US Equity</t>
        </is>
      </c>
      <c r="LS2" s="3" t="inlineStr">
        <is>
          <t>HSP US Equity</t>
        </is>
      </c>
      <c r="MW2" s="3" t="inlineStr">
        <is>
          <t>PFE US Equity</t>
        </is>
      </c>
      <c r="OA2" s="3" t="inlineStr">
        <is>
          <t>BHB US Equity</t>
        </is>
      </c>
      <c r="PE2" s="3" t="inlineStr">
        <is>
          <t>CBU US Equity</t>
        </is>
      </c>
      <c r="QI2" s="3" t="inlineStr">
        <is>
          <t>CVC US Equity</t>
        </is>
      </c>
      <c r="RM2" s="3" t="inlineStr">
        <is>
          <t>1321686D US Equity</t>
        </is>
      </c>
      <c r="SQ2" s="3" t="inlineStr">
        <is>
          <t>PATK US Equity</t>
        </is>
      </c>
      <c r="TU2" s="3" t="inlineStr">
        <is>
          <t>JH US Equity</t>
        </is>
      </c>
      <c r="UY2" s="3" t="inlineStr">
        <is>
          <t>HNBC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BDS("IT US Equity","SUPPLY_CHAIN_SUPPLIERS_FULL_DATA")</f>
        <v/>
      </c>
      <c r="O5">
        <f>BDS("IT US Equity","SUPPLY_CHAIN_CUSTOMERS_FULL_DATA")</f>
        <v/>
      </c>
      <c r="AE5">
        <f>BDS("FCBN US Equity","SUPPLY_CHAIN_SUPPLIERS_FULL_DATA")</f>
        <v/>
      </c>
      <c r="AS5">
        <f>BDS("FCBN US Equity","SUPPLY_CHAIN_CUSTOMERS_FULL_DATA")</f>
        <v/>
      </c>
      <c r="BI5">
        <f>BDS("EWBC US Equity","SUPPLY_CHAIN_SUPPLIERS_FULL_DATA")</f>
        <v/>
      </c>
      <c r="BW5">
        <f>BDS("EWBC US Equity","SUPPLY_CHAIN_CUSTOMERS_FULL_DATA")</f>
        <v/>
      </c>
      <c r="CM5">
        <f>BDS("1073675D US Equity","SUPPLY_CHAIN_SUPPLIERS_FULL_DATA")</f>
        <v/>
      </c>
      <c r="DA5">
        <f>BDS("1073675D US Equity","SUPPLY_CHAIN_CUSTOMERS_FULL_DATA")</f>
        <v/>
      </c>
      <c r="DQ5">
        <f>BDS("SCFS US Equity","SUPPLY_CHAIN_SUPPLIERS_FULL_DATA")</f>
        <v/>
      </c>
      <c r="EE5">
        <f>BDS("SCFS US Equity","SUPPLY_CHAIN_CUSTOMERS_FULL_DATA")</f>
        <v/>
      </c>
      <c r="EU5">
        <f>BDS("BBT US Equity","SUPPLY_CHAIN_SUPPLIERS_FULL_DATA")</f>
        <v/>
      </c>
      <c r="FI5">
        <f>BDS("BBT US Equity","SUPPLY_CHAIN_CUSTOMERS_FULL_DATA")</f>
        <v/>
      </c>
      <c r="FY5">
        <f>BDS("RNST US Equity","SUPPLY_CHAIN_SUPPLIERS_FULL_DATA")</f>
        <v/>
      </c>
      <c r="GM5">
        <f>BDS("RNST US Equity","SUPPLY_CHAIN_CUSTOMERS_FULL_DATA")</f>
        <v/>
      </c>
      <c r="HC5">
        <f>BDS("FLO US Equity","SUPPLY_CHAIN_SUPPLIERS_FULL_DATA")</f>
        <v/>
      </c>
      <c r="HQ5">
        <f>BDS("FLO US Equity","SUPPLY_CHAIN_CUSTOMERS_FULL_DATA")</f>
        <v/>
      </c>
      <c r="IG5">
        <f>BDS("IWOV US Equity","SUPPLY_CHAIN_SUPPLIERS_FULL_DATA")</f>
        <v/>
      </c>
      <c r="IU5">
        <f>BDS("IWOV US Equity","SUPPLY_CHAIN_CUSTOMERS_FULL_DATA")</f>
        <v/>
      </c>
      <c r="JK5">
        <f>BDS("AMFH US Equity","SUPPLY_CHAIN_SUPPLIERS_FULL_DATA")</f>
        <v/>
      </c>
      <c r="JY5">
        <f>BDS("AMFH US Equity","SUPPLY_CHAIN_CUSTOMERS_FULL_DATA")</f>
        <v/>
      </c>
      <c r="KO5">
        <f>BDS("WINMQ US Equity","SUPPLY_CHAIN_SUPPLIERS_FULL_DATA")</f>
        <v/>
      </c>
      <c r="LC5">
        <f>BDS("WINMQ US Equity","SUPPLY_CHAIN_CUSTOMERS_FULL_DATA")</f>
        <v/>
      </c>
      <c r="LS5">
        <f>BDS("HSP US Equity","SUPPLY_CHAIN_SUPPLIERS_FULL_DATA")</f>
        <v/>
      </c>
      <c r="MG5">
        <f>BDS("HSP US Equity","SUPPLY_CHAIN_CUSTOMERS_FULL_DATA")</f>
        <v/>
      </c>
      <c r="MW5">
        <f>BDS("PFE US Equity","SUPPLY_CHAIN_SUPPLIERS_FULL_DATA")</f>
        <v/>
      </c>
      <c r="NK5">
        <f>BDS("PFE US Equity","SUPPLY_CHAIN_CUSTOMERS_FULL_DATA")</f>
        <v/>
      </c>
      <c r="OA5">
        <f>BDS("BHB US Equity","SUPPLY_CHAIN_SUPPLIERS_FULL_DATA")</f>
        <v/>
      </c>
      <c r="OO5">
        <f>BDS("BHB US Equity","SUPPLY_CHAIN_CUSTOMERS_FULL_DATA")</f>
        <v/>
      </c>
      <c r="PE5">
        <f>BDS("CBU US Equity","SUPPLY_CHAIN_SUPPLIERS_FULL_DATA")</f>
        <v/>
      </c>
      <c r="PS5">
        <f>BDS("CBU US Equity","SUPPLY_CHAIN_CUSTOMERS_FULL_DATA")</f>
        <v/>
      </c>
      <c r="QI5">
        <f>BDS("CVC US Equity","SUPPLY_CHAIN_SUPPLIERS_FULL_DATA")</f>
        <v/>
      </c>
      <c r="QW5">
        <f>BDS("CVC US Equity","SUPPLY_CHAIN_CUSTOMERS_FULL_DATA")</f>
        <v/>
      </c>
      <c r="RM5">
        <f>BDS("1321686D US Equity","SUPPLY_CHAIN_SUPPLIERS_FULL_DATA")</f>
        <v/>
      </c>
      <c r="SA5">
        <f>BDS("1321686D US Equity","SUPPLY_CHAIN_CUSTOMERS_FULL_DATA")</f>
        <v/>
      </c>
      <c r="SQ5">
        <f>BDS("PATK US Equity","SUPPLY_CHAIN_SUPPLIERS_FULL_DATA")</f>
        <v/>
      </c>
      <c r="TE5">
        <f>BDS("PATK US Equity","SUPPLY_CHAIN_CUSTOMERS_FULL_DATA")</f>
        <v/>
      </c>
      <c r="TU5">
        <f>BDS("JH US Equity","SUPPLY_CHAIN_SUPPLIERS_FULL_DATA")</f>
        <v/>
      </c>
      <c r="UI5">
        <f>BDS("JH US Equity","SUPPLY_CHAIN_CUSTOMERS_FULL_DATA")</f>
        <v/>
      </c>
      <c r="UY5">
        <f>BDS("HNBC US Equity","SUPPLY_CHAIN_SUPPLIERS_FULL_DATA")</f>
        <v/>
      </c>
      <c r="VM5">
        <f>BDS("HNBC US Equity","SUPPLY_CHAIN_CUSTOMERS_FULL_DATA")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3041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3042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3043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3044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3045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3046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3047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3048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3049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3050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3051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3052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3053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3054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3055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3056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3057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3058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3059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3060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THFF US Equity</t>
        </is>
      </c>
      <c r="AE2" s="3" t="inlineStr">
        <is>
          <t>CDE US Equity</t>
        </is>
      </c>
      <c r="BI2" s="3" t="inlineStr">
        <is>
          <t>MBFI US Equity</t>
        </is>
      </c>
      <c r="CM2" s="3" t="inlineStr">
        <is>
          <t>3592185Q US Equity</t>
        </is>
      </c>
      <c r="DQ2" s="3" t="inlineStr">
        <is>
          <t>SBLUQ US Equity</t>
        </is>
      </c>
      <c r="EU2" s="3" t="inlineStr">
        <is>
          <t>FULT US Equity</t>
        </is>
      </c>
      <c r="FY2" s="3" t="inlineStr">
        <is>
          <t>NBTB US Equity</t>
        </is>
      </c>
      <c r="HC2" s="3" t="inlineStr">
        <is>
          <t>WABC US Equity</t>
        </is>
      </c>
      <c r="IG2" s="3" t="inlineStr">
        <is>
          <t>NIC US Equity</t>
        </is>
      </c>
      <c r="JK2" s="3" t="inlineStr">
        <is>
          <t>PRU US Equity</t>
        </is>
      </c>
      <c r="KO2" s="3" t="inlineStr">
        <is>
          <t>PTIX US Equity</t>
        </is>
      </c>
      <c r="LS2" s="3" t="inlineStr">
        <is>
          <t>SHBI US Equity</t>
        </is>
      </c>
      <c r="MW2" s="3" t="inlineStr">
        <is>
          <t>RCRC US Equity</t>
        </is>
      </c>
      <c r="OA2" s="3" t="inlineStr">
        <is>
          <t>GWB US Equity</t>
        </is>
      </c>
      <c r="PE2" s="3" t="inlineStr">
        <is>
          <t>TCR US Equity</t>
        </is>
      </c>
      <c r="QI2" s="3" t="inlineStr">
        <is>
          <t>SAGI US Equity</t>
        </is>
      </c>
      <c r="RM2" s="3" t="inlineStr">
        <is>
          <t>CLBK US Equity</t>
        </is>
      </c>
      <c r="SQ2" s="3" t="inlineStr">
        <is>
          <t>EAGB US Equity</t>
        </is>
      </c>
      <c r="TU2" s="3" t="inlineStr">
        <is>
          <t>TFC US Equity</t>
        </is>
      </c>
      <c r="UY2" s="3" t="inlineStr">
        <is>
          <t>DCOM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BDS("THFF US Equity","SUPPLY_CHAIN_SUPPLIERS_FULL_DATA")</f>
        <v/>
      </c>
      <c r="O5">
        <f>BDS("THFF US Equity","SUPPLY_CHAIN_CUSTOMERS_FULL_DATA")</f>
        <v/>
      </c>
      <c r="AE5">
        <f>BDS("CDE US Equity","SUPPLY_CHAIN_SUPPLIERS_FULL_DATA")</f>
        <v/>
      </c>
      <c r="AS5">
        <f>BDS("CDE US Equity","SUPPLY_CHAIN_CUSTOMERS_FULL_DATA")</f>
        <v/>
      </c>
      <c r="BI5">
        <f>BDS("MBFI US Equity","SUPPLY_CHAIN_SUPPLIERS_FULL_DATA")</f>
        <v/>
      </c>
      <c r="BW5">
        <f>BDS("MBFI US Equity","SUPPLY_CHAIN_CUSTOMERS_FULL_DATA")</f>
        <v/>
      </c>
      <c r="CM5">
        <f>BDS("3592185Q US Equity","SUPPLY_CHAIN_SUPPLIERS_FULL_DATA")</f>
        <v/>
      </c>
      <c r="DA5">
        <f>BDS("3592185Q US Equity","SUPPLY_CHAIN_CUSTOMERS_FULL_DATA")</f>
        <v/>
      </c>
      <c r="DQ5">
        <f>BDS("SBLUQ US Equity","SUPPLY_CHAIN_SUPPLIERS_FULL_DATA")</f>
        <v/>
      </c>
      <c r="EE5">
        <f>BDS("SBLUQ US Equity","SUPPLY_CHAIN_CUSTOMERS_FULL_DATA")</f>
        <v/>
      </c>
      <c r="EU5">
        <f>BDS("FULT US Equity","SUPPLY_CHAIN_SUPPLIERS_FULL_DATA")</f>
        <v/>
      </c>
      <c r="FI5">
        <f>BDS("FULT US Equity","SUPPLY_CHAIN_CUSTOMERS_FULL_DATA")</f>
        <v/>
      </c>
      <c r="FY5">
        <f>BDS("NBTB US Equity","SUPPLY_CHAIN_SUPPLIERS_FULL_DATA")</f>
        <v/>
      </c>
      <c r="GM5">
        <f>BDS("NBTB US Equity","SUPPLY_CHAIN_CUSTOMERS_FULL_DATA")</f>
        <v/>
      </c>
      <c r="HC5">
        <f>BDS("WABC US Equity","SUPPLY_CHAIN_SUPPLIERS_FULL_DATA")</f>
        <v/>
      </c>
      <c r="HQ5">
        <f>BDS("WABC US Equity","SUPPLY_CHAIN_CUSTOMERS_FULL_DATA")</f>
        <v/>
      </c>
      <c r="IG5">
        <f>BDS("NIC US Equity","SUPPLY_CHAIN_SUPPLIERS_FULL_DATA")</f>
        <v/>
      </c>
      <c r="IU5">
        <f>BDS("NIC US Equity","SUPPLY_CHAIN_CUSTOMERS_FULL_DATA")</f>
        <v/>
      </c>
      <c r="JK5">
        <f>BDS("PRU US Equity","SUPPLY_CHAIN_SUPPLIERS_FULL_DATA")</f>
        <v/>
      </c>
      <c r="JY5">
        <f>BDS("PRU US Equity","SUPPLY_CHAIN_CUSTOMERS_FULL_DATA")</f>
        <v/>
      </c>
      <c r="KO5">
        <f>BDS("PTIX US Equity","SUPPLY_CHAIN_SUPPLIERS_FULL_DATA")</f>
        <v/>
      </c>
      <c r="LC5">
        <f>BDS("PTIX US Equity","SUPPLY_CHAIN_CUSTOMERS_FULL_DATA")</f>
        <v/>
      </c>
      <c r="LS5">
        <f>BDS("SHBI US Equity","SUPPLY_CHAIN_SUPPLIERS_FULL_DATA")</f>
        <v/>
      </c>
      <c r="MG5">
        <f>BDS("SHBI US Equity","SUPPLY_CHAIN_CUSTOMERS_FULL_DATA")</f>
        <v/>
      </c>
      <c r="MW5">
        <f>BDS("RCRC US Equity","SUPPLY_CHAIN_SUPPLIERS_FULL_DATA")</f>
        <v/>
      </c>
      <c r="NK5">
        <f>BDS("RCRC US Equity","SUPPLY_CHAIN_CUSTOMERS_FULL_DATA")</f>
        <v/>
      </c>
      <c r="OA5">
        <f>BDS("GWB US Equity","SUPPLY_CHAIN_SUPPLIERS_FULL_DATA")</f>
        <v/>
      </c>
      <c r="OO5">
        <f>BDS("GWB US Equity","SUPPLY_CHAIN_CUSTOMERS_FULL_DATA")</f>
        <v/>
      </c>
      <c r="PE5">
        <f>BDS("TCR US Equity","SUPPLY_CHAIN_SUPPLIERS_FULL_DATA")</f>
        <v/>
      </c>
      <c r="PS5">
        <f>BDS("TCR US Equity","SUPPLY_CHAIN_CUSTOMERS_FULL_DATA")</f>
        <v/>
      </c>
      <c r="QI5">
        <f>BDS("SAGI US Equity","SUPPLY_CHAIN_SUPPLIERS_FULL_DATA")</f>
        <v/>
      </c>
      <c r="QW5">
        <f>BDS("SAGI US Equity","SUPPLY_CHAIN_CUSTOMERS_FULL_DATA")</f>
        <v/>
      </c>
      <c r="RM5">
        <f>BDS("CLBK US Equity","SUPPLY_CHAIN_SUPPLIERS_FULL_DATA")</f>
        <v/>
      </c>
      <c r="SA5">
        <f>BDS("CLBK US Equity","SUPPLY_CHAIN_CUSTOMERS_FULL_DATA")</f>
        <v/>
      </c>
      <c r="SQ5">
        <f>BDS("EAGB US Equity","SUPPLY_CHAIN_SUPPLIERS_FULL_DATA")</f>
        <v/>
      </c>
      <c r="TE5">
        <f>BDS("EAGB US Equity","SUPPLY_CHAIN_CUSTOMERS_FULL_DATA")</f>
        <v/>
      </c>
      <c r="TU5">
        <f>BDS("TFC US Equity","SUPPLY_CHAIN_SUPPLIERS_FULL_DATA")</f>
        <v/>
      </c>
      <c r="UI5">
        <f>BDS("TFC US Equity","SUPPLY_CHAIN_CUSTOMERS_FULL_DATA")</f>
        <v/>
      </c>
      <c r="UY5">
        <f>BDS("DCOM US Equity","SUPPLY_CHAIN_SUPPLIERS_FULL_DATA")</f>
        <v/>
      </c>
      <c r="VM5">
        <f>BDS("DCOM US Equity","SUPPLY_CHAIN_CUSTOMERS_FULL_DATA")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3061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3062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3063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3064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3065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3066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3067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3068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3069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3070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3071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3072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3073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3074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3075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3076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3077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3078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3079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3080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AAL US Equity</t>
        </is>
      </c>
      <c r="AE2" s="3" t="inlineStr">
        <is>
          <t>CBONQ US Equity</t>
        </is>
      </c>
      <c r="BI2" s="3" t="inlineStr">
        <is>
          <t>DEIX US Equity</t>
        </is>
      </c>
      <c r="CM2" s="3" t="inlineStr">
        <is>
          <t>1740293D US Equity</t>
        </is>
      </c>
      <c r="DQ2" s="3" t="inlineStr">
        <is>
          <t>VLY US Equity</t>
        </is>
      </c>
      <c r="EU2" s="3" t="inlineStr">
        <is>
          <t>VRTX US Equity</t>
        </is>
      </c>
      <c r="FY2" s="3" t="inlineStr">
        <is>
          <t>TFC US Equity</t>
        </is>
      </c>
      <c r="HC2" s="3" t="inlineStr">
        <is>
          <t>ISBC US Equity</t>
        </is>
      </c>
      <c r="IG2" s="3" t="inlineStr">
        <is>
          <t>AGR US Equity</t>
        </is>
      </c>
      <c r="JK2" s="3" t="inlineStr">
        <is>
          <t>1822785D US Equity</t>
        </is>
      </c>
      <c r="KO2" s="3" t="inlineStr">
        <is>
          <t>FNB US Equity</t>
        </is>
      </c>
      <c r="LS2" s="3" t="inlineStr">
        <is>
          <t>9980328D US Equity</t>
        </is>
      </c>
      <c r="MW2" s="3" t="inlineStr">
        <is>
          <t>ARW US Equity</t>
        </is>
      </c>
      <c r="OA2" s="3" t="inlineStr">
        <is>
          <t>HUM US Equity</t>
        </is>
      </c>
      <c r="PE2" s="3" t="inlineStr">
        <is>
          <t>BMRC US Equity</t>
        </is>
      </c>
      <c r="QI2" s="3" t="inlineStr">
        <is>
          <t>388103Q US Equity</t>
        </is>
      </c>
      <c r="RM2" s="3" t="inlineStr">
        <is>
          <t>ALTO US Equity</t>
        </is>
      </c>
      <c r="SQ2" s="3" t="inlineStr">
        <is>
          <t>SVC US Equity</t>
        </is>
      </c>
      <c r="TU2" s="3" t="inlineStr">
        <is>
          <t>653707Q US Equity</t>
        </is>
      </c>
      <c r="UY2" s="3" t="inlineStr">
        <is>
          <t>103917Q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BDS("AAL US Equity","SUPPLY_CHAIN_SUPPLIERS_FULL_DATA")</f>
        <v/>
      </c>
      <c r="O5">
        <f>BDS("AAL US Equity","SUPPLY_CHAIN_CUSTOMERS_FULL_DATA")</f>
        <v/>
      </c>
      <c r="AE5">
        <f>BDS("CBONQ US Equity","SUPPLY_CHAIN_SUPPLIERS_FULL_DATA")</f>
        <v/>
      </c>
      <c r="AS5">
        <f>BDS("CBONQ US Equity","SUPPLY_CHAIN_CUSTOMERS_FULL_DATA")</f>
        <v/>
      </c>
      <c r="BI5">
        <f>BDS("DEIX US Equity","SUPPLY_CHAIN_SUPPLIERS_FULL_DATA")</f>
        <v/>
      </c>
      <c r="BW5">
        <f>BDS("DEIX US Equity","SUPPLY_CHAIN_CUSTOMERS_FULL_DATA")</f>
        <v/>
      </c>
      <c r="CM5">
        <f>BDS("1740293D US Equity","SUPPLY_CHAIN_SUPPLIERS_FULL_DATA")</f>
        <v/>
      </c>
      <c r="DA5">
        <f>BDS("1740293D US Equity","SUPPLY_CHAIN_CUSTOMERS_FULL_DATA")</f>
        <v/>
      </c>
      <c r="DQ5">
        <f>BDS("VLY US Equity","SUPPLY_CHAIN_SUPPLIERS_FULL_DATA")</f>
        <v/>
      </c>
      <c r="EE5">
        <f>BDS("VLY US Equity","SUPPLY_CHAIN_CUSTOMERS_FULL_DATA")</f>
        <v/>
      </c>
      <c r="EU5">
        <f>BDS("VRTX US Equity","SUPPLY_CHAIN_SUPPLIERS_FULL_DATA")</f>
        <v/>
      </c>
      <c r="FI5">
        <f>BDS("VRTX US Equity","SUPPLY_CHAIN_CUSTOMERS_FULL_DATA")</f>
        <v/>
      </c>
      <c r="FY5">
        <f>BDS("TFC US Equity","SUPPLY_CHAIN_SUPPLIERS_FULL_DATA")</f>
        <v/>
      </c>
      <c r="GM5">
        <f>BDS("TFC US Equity","SUPPLY_CHAIN_CUSTOMERS_FULL_DATA")</f>
        <v/>
      </c>
      <c r="HC5">
        <f>BDS("ISBC US Equity","SUPPLY_CHAIN_SUPPLIERS_FULL_DATA")</f>
        <v/>
      </c>
      <c r="HQ5">
        <f>BDS("ISBC US Equity","SUPPLY_CHAIN_CUSTOMERS_FULL_DATA")</f>
        <v/>
      </c>
      <c r="IG5">
        <f>BDS("AGR US Equity","SUPPLY_CHAIN_SUPPLIERS_FULL_DATA")</f>
        <v/>
      </c>
      <c r="IU5">
        <f>BDS("AGR US Equity","SUPPLY_CHAIN_CUSTOMERS_FULL_DATA")</f>
        <v/>
      </c>
      <c r="JK5">
        <f>BDS("1822785D US Equity","SUPPLY_CHAIN_SUPPLIERS_FULL_DATA")</f>
        <v/>
      </c>
      <c r="JY5">
        <f>BDS("1822785D US Equity","SUPPLY_CHAIN_CUSTOMERS_FULL_DATA")</f>
        <v/>
      </c>
      <c r="KO5">
        <f>BDS("FNB US Equity","SUPPLY_CHAIN_SUPPLIERS_FULL_DATA")</f>
        <v/>
      </c>
      <c r="LC5">
        <f>BDS("FNB US Equity","SUPPLY_CHAIN_CUSTOMERS_FULL_DATA")</f>
        <v/>
      </c>
      <c r="LS5">
        <f>BDS("9980328D US Equity","SUPPLY_CHAIN_SUPPLIERS_FULL_DATA")</f>
        <v/>
      </c>
      <c r="MG5">
        <f>BDS("9980328D US Equity","SUPPLY_CHAIN_CUSTOMERS_FULL_DATA")</f>
        <v/>
      </c>
      <c r="MW5">
        <f>BDS("ARW US Equity","SUPPLY_CHAIN_SUPPLIERS_FULL_DATA")</f>
        <v/>
      </c>
      <c r="NK5">
        <f>BDS("ARW US Equity","SUPPLY_CHAIN_CUSTOMERS_FULL_DATA")</f>
        <v/>
      </c>
      <c r="OA5">
        <f>BDS("HUM US Equity","SUPPLY_CHAIN_SUPPLIERS_FULL_DATA")</f>
        <v/>
      </c>
      <c r="OO5">
        <f>BDS("HUM US Equity","SUPPLY_CHAIN_CUSTOMERS_FULL_DATA")</f>
        <v/>
      </c>
      <c r="PE5">
        <f>BDS("BMRC US Equity","SUPPLY_CHAIN_SUPPLIERS_FULL_DATA")</f>
        <v/>
      </c>
      <c r="PS5">
        <f>BDS("BMRC US Equity","SUPPLY_CHAIN_CUSTOMERS_FULL_DATA")</f>
        <v/>
      </c>
      <c r="QI5">
        <f>BDS("388103Q US Equity","SUPPLY_CHAIN_SUPPLIERS_FULL_DATA")</f>
        <v/>
      </c>
      <c r="QW5">
        <f>BDS("388103Q US Equity","SUPPLY_CHAIN_CUSTOMERS_FULL_DATA")</f>
        <v/>
      </c>
      <c r="RM5">
        <f>BDS("ALTO US Equity","SUPPLY_CHAIN_SUPPLIERS_FULL_DATA")</f>
        <v/>
      </c>
      <c r="SA5">
        <f>BDS("ALTO US Equity","SUPPLY_CHAIN_CUSTOMERS_FULL_DATA")</f>
        <v/>
      </c>
      <c r="SQ5">
        <f>BDS("SVC US Equity","SUPPLY_CHAIN_SUPPLIERS_FULL_DATA")</f>
        <v/>
      </c>
      <c r="TE5">
        <f>BDS("SVC US Equity","SUPPLY_CHAIN_CUSTOMERS_FULL_DATA")</f>
        <v/>
      </c>
      <c r="TU5">
        <f>BDS("653707Q US Equity","SUPPLY_CHAIN_SUPPLIERS_FULL_DATA")</f>
        <v/>
      </c>
      <c r="UI5">
        <f>BDS("653707Q US Equity","SUPPLY_CHAIN_CUSTOMERS_FULL_DATA")</f>
        <v/>
      </c>
      <c r="UY5">
        <f>BDS("103917Q US Equity","SUPPLY_CHAIN_SUPPLIERS_FULL_DATA")</f>
        <v/>
      </c>
      <c r="VM5">
        <f>BDS("103917Q US Equity","SUPPLY_CHAIN_CUSTOMERS_FULL_DATA")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3081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3082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3083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3084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3085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3086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3087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3088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3089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3090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3091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3092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3093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3094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3095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3096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3097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3098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3099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3100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0618828D US Equity</t>
        </is>
      </c>
      <c r="AE2" s="3" t="inlineStr">
        <is>
          <t>CFG US Equity</t>
        </is>
      </c>
      <c r="BI2" s="3" t="inlineStr">
        <is>
          <t>0966147D US Equity</t>
        </is>
      </c>
      <c r="CM2" s="3" t="inlineStr">
        <is>
          <t>2185054D US Equity</t>
        </is>
      </c>
      <c r="DQ2" s="3" t="inlineStr">
        <is>
          <t>CMOS US Equity</t>
        </is>
      </c>
      <c r="EU2" s="3" t="inlineStr">
        <is>
          <t>NFS US Equity</t>
        </is>
      </c>
      <c r="FY2" s="3" t="inlineStr">
        <is>
          <t>GOOGL US Equity</t>
        </is>
      </c>
      <c r="HC2" s="3" t="inlineStr">
        <is>
          <t>BWA US Equity</t>
        </is>
      </c>
      <c r="IG2" s="3" t="inlineStr">
        <is>
          <t>CPK US Equity</t>
        </is>
      </c>
      <c r="JK2" s="3" t="inlineStr">
        <is>
          <t>RTEC US Equity</t>
        </is>
      </c>
      <c r="KO2" s="3" t="inlineStr">
        <is>
          <t>CWST US Equity</t>
        </is>
      </c>
      <c r="LS2" s="3" t="inlineStr">
        <is>
          <t>NPBC US Equity</t>
        </is>
      </c>
      <c r="MW2" s="3" t="inlineStr">
        <is>
          <t>RGNA US Equity</t>
        </is>
      </c>
      <c r="OA2" s="3" t="inlineStr">
        <is>
          <t>TLRDQ US Equity</t>
        </is>
      </c>
      <c r="PE2" s="3" t="inlineStr">
        <is>
          <t>CRK US Equity</t>
        </is>
      </c>
      <c r="QI2" s="3" t="inlineStr">
        <is>
          <t>1552309D US Equity</t>
        </is>
      </c>
      <c r="RM2" s="3" t="inlineStr">
        <is>
          <t>MCHB US Equity</t>
        </is>
      </c>
      <c r="SQ2" s="3" t="inlineStr">
        <is>
          <t>RTX US Equity</t>
        </is>
      </c>
      <c r="TU2" s="3" t="inlineStr">
        <is>
          <t>9990225D US Equity</t>
        </is>
      </c>
      <c r="UY2" s="3" t="inlineStr">
        <is>
          <t>NOC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BDS("0618828D US Equity","SUPPLY_CHAIN_SUPPLIERS_FULL_DATA")</f>
        <v/>
      </c>
      <c r="O5">
        <f>BDS("0618828D US Equity","SUPPLY_CHAIN_CUSTOMERS_FULL_DATA")</f>
        <v/>
      </c>
      <c r="AE5">
        <f>BDS("CFG US Equity","SUPPLY_CHAIN_SUPPLIERS_FULL_DATA")</f>
        <v/>
      </c>
      <c r="AS5">
        <f>BDS("CFG US Equity","SUPPLY_CHAIN_CUSTOMERS_FULL_DATA")</f>
        <v/>
      </c>
      <c r="BI5">
        <f>BDS("0966147D US Equity","SUPPLY_CHAIN_SUPPLIERS_FULL_DATA")</f>
        <v/>
      </c>
      <c r="BW5">
        <f>BDS("0966147D US Equity","SUPPLY_CHAIN_CUSTOMERS_FULL_DATA")</f>
        <v/>
      </c>
      <c r="CM5">
        <f>BDS("2185054D US Equity","SUPPLY_CHAIN_SUPPLIERS_FULL_DATA")</f>
        <v/>
      </c>
      <c r="DA5">
        <f>BDS("2185054D US Equity","SUPPLY_CHAIN_CUSTOMERS_FULL_DATA")</f>
        <v/>
      </c>
      <c r="DQ5">
        <f>BDS("CMOS US Equity","SUPPLY_CHAIN_SUPPLIERS_FULL_DATA")</f>
        <v/>
      </c>
      <c r="EE5">
        <f>BDS("CMOS US Equity","SUPPLY_CHAIN_CUSTOMERS_FULL_DATA")</f>
        <v/>
      </c>
      <c r="EU5">
        <f>BDS("NFS US Equity","SUPPLY_CHAIN_SUPPLIERS_FULL_DATA")</f>
        <v/>
      </c>
      <c r="FI5">
        <f>BDS("NFS US Equity","SUPPLY_CHAIN_CUSTOMERS_FULL_DATA")</f>
        <v/>
      </c>
      <c r="FY5">
        <f>BDS("GOOGL US Equity","SUPPLY_CHAIN_SUPPLIERS_FULL_DATA")</f>
        <v/>
      </c>
      <c r="GM5">
        <f>BDS("GOOGL US Equity","SUPPLY_CHAIN_CUSTOMERS_FULL_DATA")</f>
        <v/>
      </c>
      <c r="HC5">
        <f>BDS("BWA US Equity","SUPPLY_CHAIN_SUPPLIERS_FULL_DATA")</f>
        <v/>
      </c>
      <c r="HQ5">
        <f>BDS("BWA US Equity","SUPPLY_CHAIN_CUSTOMERS_FULL_DATA")</f>
        <v/>
      </c>
      <c r="IG5">
        <f>BDS("CPK US Equity","SUPPLY_CHAIN_SUPPLIERS_FULL_DATA")</f>
        <v/>
      </c>
      <c r="IU5">
        <f>BDS("CPK US Equity","SUPPLY_CHAIN_CUSTOMERS_FULL_DATA")</f>
        <v/>
      </c>
      <c r="JK5">
        <f>BDS("RTEC US Equity","SUPPLY_CHAIN_SUPPLIERS_FULL_DATA")</f>
        <v/>
      </c>
      <c r="JY5">
        <f>BDS("RTEC US Equity","SUPPLY_CHAIN_CUSTOMERS_FULL_DATA")</f>
        <v/>
      </c>
      <c r="KO5">
        <f>BDS("CWST US Equity","SUPPLY_CHAIN_SUPPLIERS_FULL_DATA")</f>
        <v/>
      </c>
      <c r="LC5">
        <f>BDS("CWST US Equity","SUPPLY_CHAIN_CUSTOMERS_FULL_DATA")</f>
        <v/>
      </c>
      <c r="LS5">
        <f>BDS("NPBC US Equity","SUPPLY_CHAIN_SUPPLIERS_FULL_DATA")</f>
        <v/>
      </c>
      <c r="MG5">
        <f>BDS("NPBC US Equity","SUPPLY_CHAIN_CUSTOMERS_FULL_DATA")</f>
        <v/>
      </c>
      <c r="MW5">
        <f>BDS("RGNA US Equity","SUPPLY_CHAIN_SUPPLIERS_FULL_DATA")</f>
        <v/>
      </c>
      <c r="NK5">
        <f>BDS("RGNA US Equity","SUPPLY_CHAIN_CUSTOMERS_FULL_DATA")</f>
        <v/>
      </c>
      <c r="OA5">
        <f>BDS("TLRDQ US Equity","SUPPLY_CHAIN_SUPPLIERS_FULL_DATA")</f>
        <v/>
      </c>
      <c r="OO5">
        <f>BDS("TLRDQ US Equity","SUPPLY_CHAIN_CUSTOMERS_FULL_DATA")</f>
        <v/>
      </c>
      <c r="PE5">
        <f>BDS("CRK US Equity","SUPPLY_CHAIN_SUPPLIERS_FULL_DATA")</f>
        <v/>
      </c>
      <c r="PS5">
        <f>BDS("CRK US Equity","SUPPLY_CHAIN_CUSTOMERS_FULL_DATA")</f>
        <v/>
      </c>
      <c r="QI5">
        <f>BDS("1552309D US Equity","SUPPLY_CHAIN_SUPPLIERS_FULL_DATA")</f>
        <v/>
      </c>
      <c r="QW5">
        <f>BDS("1552309D US Equity","SUPPLY_CHAIN_CUSTOMERS_FULL_DATA")</f>
        <v/>
      </c>
      <c r="RM5">
        <f>BDS("MCHB US Equity","SUPPLY_CHAIN_SUPPLIERS_FULL_DATA")</f>
        <v/>
      </c>
      <c r="SA5">
        <f>BDS("MCHB US Equity","SUPPLY_CHAIN_CUSTOMERS_FULL_DATA")</f>
        <v/>
      </c>
      <c r="SQ5">
        <f>BDS("RTX US Equity","SUPPLY_CHAIN_SUPPLIERS_FULL_DATA")</f>
        <v/>
      </c>
      <c r="TE5">
        <f>BDS("RTX US Equity","SUPPLY_CHAIN_CUSTOMERS_FULL_DATA")</f>
        <v/>
      </c>
      <c r="TU5">
        <f>BDS("9990225D US Equity","SUPPLY_CHAIN_SUPPLIERS_FULL_DATA")</f>
        <v/>
      </c>
      <c r="UI5">
        <f>BDS("9990225D US Equity","SUPPLY_CHAIN_CUSTOMERS_FULL_DATA")</f>
        <v/>
      </c>
      <c r="UY5">
        <f>BDS("NOC US Equity","SUPPLY_CHAIN_SUPPLIERS_FULL_DATA")</f>
        <v/>
      </c>
      <c r="VM5">
        <f>BDS("NOC US Equity","SUPPLY_CHAIN_CUSTOMERS_FULL_DATA")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3101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3102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3103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3104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3105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3106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3107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3108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3109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3110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3111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3112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3113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3114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3115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3116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3117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3118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3119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3120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ICBC US Equity</t>
        </is>
      </c>
      <c r="AE2" s="3" t="inlineStr">
        <is>
          <t>HLFG US Equity</t>
        </is>
      </c>
      <c r="BI2" s="3" t="inlineStr">
        <is>
          <t>GEO US Equity</t>
        </is>
      </c>
      <c r="CM2" s="3" t="inlineStr">
        <is>
          <t>DIAN US Equity</t>
        </is>
      </c>
      <c r="DQ2" s="3" t="inlineStr">
        <is>
          <t>1339658D US Equity</t>
        </is>
      </c>
      <c r="EU2" s="3" t="inlineStr">
        <is>
          <t>BVH US Equity</t>
        </is>
      </c>
      <c r="FY2" s="3" t="inlineStr">
        <is>
          <t>INDB US Equity</t>
        </is>
      </c>
      <c r="HC2" s="3" t="inlineStr">
        <is>
          <t>SRR US Equity</t>
        </is>
      </c>
      <c r="IG2" s="3" t="inlineStr">
        <is>
          <t>ALAB US Equity</t>
        </is>
      </c>
      <c r="JK2" s="3" t="inlineStr">
        <is>
          <t>RBNC US Equity</t>
        </is>
      </c>
      <c r="KO2" s="3" t="inlineStr">
        <is>
          <t>MBHIQ US Equity</t>
        </is>
      </c>
      <c r="LS2" s="3" t="inlineStr">
        <is>
          <t>WCOEQ US Equity</t>
        </is>
      </c>
      <c r="MW2" s="3" t="inlineStr">
        <is>
          <t>IMGC US Equity</t>
        </is>
      </c>
      <c r="OA2" s="3" t="inlineStr">
        <is>
          <t>SCFS US Equity</t>
        </is>
      </c>
      <c r="PE2" s="3" t="inlineStr">
        <is>
          <t>EFSC US Equity</t>
        </is>
      </c>
      <c r="QI2" s="3" t="inlineStr">
        <is>
          <t>BVH US Equity</t>
        </is>
      </c>
      <c r="RM2" s="3" t="inlineStr">
        <is>
          <t>EVVV US Equity</t>
        </is>
      </c>
      <c r="SQ2" s="3" t="inlineStr">
        <is>
          <t>NXTL US Equity</t>
        </is>
      </c>
      <c r="TU2" s="3" t="inlineStr">
        <is>
          <t>BKMU US Equity</t>
        </is>
      </c>
      <c r="UY2" s="3" t="inlineStr">
        <is>
          <t>WHLR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BDS("ICBC US Equity","SUPPLY_CHAIN_SUPPLIERS_FULL_DATA")</f>
        <v/>
      </c>
      <c r="O5">
        <f>BDS("ICBC US Equity","SUPPLY_CHAIN_CUSTOMERS_FULL_DATA")</f>
        <v/>
      </c>
      <c r="AE5">
        <f>BDS("HLFG US Equity","SUPPLY_CHAIN_SUPPLIERS_FULL_DATA")</f>
        <v/>
      </c>
      <c r="AS5">
        <f>BDS("HLFG US Equity","SUPPLY_CHAIN_CUSTOMERS_FULL_DATA")</f>
        <v/>
      </c>
      <c r="BI5">
        <f>BDS("GEO US Equity","SUPPLY_CHAIN_SUPPLIERS_FULL_DATA")</f>
        <v/>
      </c>
      <c r="BW5">
        <f>BDS("GEO US Equity","SUPPLY_CHAIN_CUSTOMERS_FULL_DATA")</f>
        <v/>
      </c>
      <c r="CM5">
        <f>BDS("DIAN US Equity","SUPPLY_CHAIN_SUPPLIERS_FULL_DATA")</f>
        <v/>
      </c>
      <c r="DA5">
        <f>BDS("DIAN US Equity","SUPPLY_CHAIN_CUSTOMERS_FULL_DATA")</f>
        <v/>
      </c>
      <c r="DQ5">
        <f>BDS("1339658D US Equity","SUPPLY_CHAIN_SUPPLIERS_FULL_DATA")</f>
        <v/>
      </c>
      <c r="EE5">
        <f>BDS("1339658D US Equity","SUPPLY_CHAIN_CUSTOMERS_FULL_DATA")</f>
        <v/>
      </c>
      <c r="EU5">
        <f>BDS("BVH US Equity","SUPPLY_CHAIN_SUPPLIERS_FULL_DATA")</f>
        <v/>
      </c>
      <c r="FI5">
        <f>BDS("BVH US Equity","SUPPLY_CHAIN_CUSTOMERS_FULL_DATA")</f>
        <v/>
      </c>
      <c r="FY5">
        <f>BDS("INDB US Equity","SUPPLY_CHAIN_SUPPLIERS_FULL_DATA")</f>
        <v/>
      </c>
      <c r="GM5">
        <f>BDS("INDB US Equity","SUPPLY_CHAIN_CUSTOMERS_FULL_DATA")</f>
        <v/>
      </c>
      <c r="HC5">
        <f>BDS("SRR US Equity","SUPPLY_CHAIN_SUPPLIERS_FULL_DATA")</f>
        <v/>
      </c>
      <c r="HQ5">
        <f>BDS("SRR US Equity","SUPPLY_CHAIN_CUSTOMERS_FULL_DATA")</f>
        <v/>
      </c>
      <c r="IG5">
        <f>BDS("ALAB US Equity","SUPPLY_CHAIN_SUPPLIERS_FULL_DATA")</f>
        <v/>
      </c>
      <c r="IU5">
        <f>BDS("ALAB US Equity","SUPPLY_CHAIN_CUSTOMERS_FULL_DATA")</f>
        <v/>
      </c>
      <c r="JK5">
        <f>BDS("RBNC US Equity","SUPPLY_CHAIN_SUPPLIERS_FULL_DATA")</f>
        <v/>
      </c>
      <c r="JY5">
        <f>BDS("RBNC US Equity","SUPPLY_CHAIN_CUSTOMERS_FULL_DATA")</f>
        <v/>
      </c>
      <c r="KO5">
        <f>BDS("MBHIQ US Equity","SUPPLY_CHAIN_SUPPLIERS_FULL_DATA")</f>
        <v/>
      </c>
      <c r="LC5">
        <f>BDS("MBHIQ US Equity","SUPPLY_CHAIN_CUSTOMERS_FULL_DATA")</f>
        <v/>
      </c>
      <c r="LS5">
        <f>BDS("WCOEQ US Equity","SUPPLY_CHAIN_SUPPLIERS_FULL_DATA")</f>
        <v/>
      </c>
      <c r="MG5">
        <f>BDS("WCOEQ US Equity","SUPPLY_CHAIN_CUSTOMERS_FULL_DATA")</f>
        <v/>
      </c>
      <c r="MW5">
        <f>BDS("IMGC US Equity","SUPPLY_CHAIN_SUPPLIERS_FULL_DATA")</f>
        <v/>
      </c>
      <c r="NK5">
        <f>BDS("IMGC US Equity","SUPPLY_CHAIN_CUSTOMERS_FULL_DATA")</f>
        <v/>
      </c>
      <c r="OA5">
        <f>BDS("SCFS US Equity","SUPPLY_CHAIN_SUPPLIERS_FULL_DATA")</f>
        <v/>
      </c>
      <c r="OO5">
        <f>BDS("SCFS US Equity","SUPPLY_CHAIN_CUSTOMERS_FULL_DATA")</f>
        <v/>
      </c>
      <c r="PE5">
        <f>BDS("EFSC US Equity","SUPPLY_CHAIN_SUPPLIERS_FULL_DATA")</f>
        <v/>
      </c>
      <c r="PS5">
        <f>BDS("EFSC US Equity","SUPPLY_CHAIN_CUSTOMERS_FULL_DATA")</f>
        <v/>
      </c>
      <c r="QI5">
        <f>BDS("BVH US Equity","SUPPLY_CHAIN_SUPPLIERS_FULL_DATA")</f>
        <v/>
      </c>
      <c r="QW5">
        <f>BDS("BVH US Equity","SUPPLY_CHAIN_CUSTOMERS_FULL_DATA")</f>
        <v/>
      </c>
      <c r="RM5">
        <f>BDS("EVVV US Equity","SUPPLY_CHAIN_SUPPLIERS_FULL_DATA")</f>
        <v/>
      </c>
      <c r="SA5">
        <f>BDS("EVVV US Equity","SUPPLY_CHAIN_CUSTOMERS_FULL_DATA")</f>
        <v/>
      </c>
      <c r="SQ5">
        <f>BDS("NXTL US Equity","SUPPLY_CHAIN_SUPPLIERS_FULL_DATA")</f>
        <v/>
      </c>
      <c r="TE5">
        <f>BDS("NXTL US Equity","SUPPLY_CHAIN_CUSTOMERS_FULL_DATA")</f>
        <v/>
      </c>
      <c r="TU5">
        <f>BDS("BKMU US Equity","SUPPLY_CHAIN_SUPPLIERS_FULL_DATA")</f>
        <v/>
      </c>
      <c r="UI5">
        <f>BDS("BKMU US Equity","SUPPLY_CHAIN_CUSTOMERS_FULL_DATA")</f>
        <v/>
      </c>
      <c r="UY5">
        <f>BDS("WHLR US Equity","SUPPLY_CHAIN_SUPPLIERS_FULL_DATA")</f>
        <v/>
      </c>
      <c r="VM5">
        <f>BDS("WHLR US Equity","SUPPLY_CHAIN_CUSTOMERS_FULL_DATA")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3121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3122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3123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3124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3125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3126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3127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3128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3129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3130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3131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3132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3133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3134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3135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3136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3137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3138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3139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3140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HBAN US Equity</t>
        </is>
      </c>
      <c r="AE2" s="3" t="inlineStr">
        <is>
          <t>680884Q US Equity</t>
        </is>
      </c>
      <c r="BI2" s="3" t="inlineStr">
        <is>
          <t>SCFS US Equity</t>
        </is>
      </c>
      <c r="CM2" s="3" t="inlineStr">
        <is>
          <t>MAFB US Equity</t>
        </is>
      </c>
      <c r="DQ2" s="3" t="inlineStr">
        <is>
          <t>MAR US Equity</t>
        </is>
      </c>
      <c r="EU2" s="3" t="inlineStr">
        <is>
          <t>GBBK US Equity</t>
        </is>
      </c>
      <c r="FY2" s="3" t="inlineStr">
        <is>
          <t>VIAV US Equity</t>
        </is>
      </c>
      <c r="HC2" s="3" t="inlineStr">
        <is>
          <t>DCAI US Equity</t>
        </is>
      </c>
      <c r="IG2" s="3" t="inlineStr">
        <is>
          <t>COB US Equity</t>
        </is>
      </c>
      <c r="JK2" s="3" t="inlineStr">
        <is>
          <t>RITA US Equity</t>
        </is>
      </c>
      <c r="KO2" s="3" t="inlineStr">
        <is>
          <t>MDT US Equity</t>
        </is>
      </c>
      <c r="LS2" s="3" t="inlineStr">
        <is>
          <t>MPB US Equity</t>
        </is>
      </c>
      <c r="MW2" s="3" t="inlineStr">
        <is>
          <t>BEAS US Equity</t>
        </is>
      </c>
      <c r="OA2" s="3" t="inlineStr">
        <is>
          <t>NBBC US Equity</t>
        </is>
      </c>
      <c r="PE2" s="3" t="inlineStr">
        <is>
          <t>1978022D US Equity</t>
        </is>
      </c>
      <c r="QI2" s="3" t="inlineStr">
        <is>
          <t>SGYPQ US Equity</t>
        </is>
      </c>
      <c r="RM2" s="3" t="inlineStr">
        <is>
          <t>AIMC US Equity</t>
        </is>
      </c>
      <c r="SQ2" s="3" t="inlineStr">
        <is>
          <t>MMM US Equity</t>
        </is>
      </c>
      <c r="TU2" s="3" t="inlineStr">
        <is>
          <t>ADP US Equity</t>
        </is>
      </c>
      <c r="UY2" s="3" t="inlineStr">
        <is>
          <t>DAR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BDS("HBAN US Equity","SUPPLY_CHAIN_SUPPLIERS_FULL_DATA")</f>
        <v/>
      </c>
      <c r="O5">
        <f>BDS("HBAN US Equity","SUPPLY_CHAIN_CUSTOMERS_FULL_DATA")</f>
        <v/>
      </c>
      <c r="AE5">
        <f>BDS("680884Q US Equity","SUPPLY_CHAIN_SUPPLIERS_FULL_DATA")</f>
        <v/>
      </c>
      <c r="AS5">
        <f>BDS("680884Q US Equity","SUPPLY_CHAIN_CUSTOMERS_FULL_DATA")</f>
        <v/>
      </c>
      <c r="BI5">
        <f>BDS("SCFS US Equity","SUPPLY_CHAIN_SUPPLIERS_FULL_DATA")</f>
        <v/>
      </c>
      <c r="BW5">
        <f>BDS("SCFS US Equity","SUPPLY_CHAIN_CUSTOMERS_FULL_DATA")</f>
        <v/>
      </c>
      <c r="CM5">
        <f>BDS("MAFB US Equity","SUPPLY_CHAIN_SUPPLIERS_FULL_DATA")</f>
        <v/>
      </c>
      <c r="DA5">
        <f>BDS("MAFB US Equity","SUPPLY_CHAIN_CUSTOMERS_FULL_DATA")</f>
        <v/>
      </c>
      <c r="DQ5">
        <f>BDS("MAR US Equity","SUPPLY_CHAIN_SUPPLIERS_FULL_DATA")</f>
        <v/>
      </c>
      <c r="EE5">
        <f>BDS("MAR US Equity","SUPPLY_CHAIN_CUSTOMERS_FULL_DATA")</f>
        <v/>
      </c>
      <c r="EU5">
        <f>BDS("GBBK US Equity","SUPPLY_CHAIN_SUPPLIERS_FULL_DATA")</f>
        <v/>
      </c>
      <c r="FI5">
        <f>BDS("GBBK US Equity","SUPPLY_CHAIN_CUSTOMERS_FULL_DATA")</f>
        <v/>
      </c>
      <c r="FY5">
        <f>BDS("VIAV US Equity","SUPPLY_CHAIN_SUPPLIERS_FULL_DATA")</f>
        <v/>
      </c>
      <c r="GM5">
        <f>BDS("VIAV US Equity","SUPPLY_CHAIN_CUSTOMERS_FULL_DATA")</f>
        <v/>
      </c>
      <c r="HC5">
        <f>BDS("DCAI US Equity","SUPPLY_CHAIN_SUPPLIERS_FULL_DATA")</f>
        <v/>
      </c>
      <c r="HQ5">
        <f>BDS("DCAI US Equity","SUPPLY_CHAIN_CUSTOMERS_FULL_DATA")</f>
        <v/>
      </c>
      <c r="IG5">
        <f>BDS("COB US Equity","SUPPLY_CHAIN_SUPPLIERS_FULL_DATA")</f>
        <v/>
      </c>
      <c r="IU5">
        <f>BDS("COB US Equity","SUPPLY_CHAIN_CUSTOMERS_FULL_DATA")</f>
        <v/>
      </c>
      <c r="JK5">
        <f>BDS("RITA US Equity","SUPPLY_CHAIN_SUPPLIERS_FULL_DATA")</f>
        <v/>
      </c>
      <c r="JY5">
        <f>BDS("RITA US Equity","SUPPLY_CHAIN_CUSTOMERS_FULL_DATA")</f>
        <v/>
      </c>
      <c r="KO5">
        <f>BDS("MDT US Equity","SUPPLY_CHAIN_SUPPLIERS_FULL_DATA")</f>
        <v/>
      </c>
      <c r="LC5">
        <f>BDS("MDT US Equity","SUPPLY_CHAIN_CUSTOMERS_FULL_DATA")</f>
        <v/>
      </c>
      <c r="LS5">
        <f>BDS("MPB US Equity","SUPPLY_CHAIN_SUPPLIERS_FULL_DATA")</f>
        <v/>
      </c>
      <c r="MG5">
        <f>BDS("MPB US Equity","SUPPLY_CHAIN_CUSTOMERS_FULL_DATA")</f>
        <v/>
      </c>
      <c r="MW5">
        <f>BDS("BEAS US Equity","SUPPLY_CHAIN_SUPPLIERS_FULL_DATA")</f>
        <v/>
      </c>
      <c r="NK5">
        <f>BDS("BEAS US Equity","SUPPLY_CHAIN_CUSTOMERS_FULL_DATA")</f>
        <v/>
      </c>
      <c r="OA5">
        <f>BDS("NBBC US Equity","SUPPLY_CHAIN_SUPPLIERS_FULL_DATA")</f>
        <v/>
      </c>
      <c r="OO5">
        <f>BDS("NBBC US Equity","SUPPLY_CHAIN_CUSTOMERS_FULL_DATA")</f>
        <v/>
      </c>
      <c r="PE5">
        <f>BDS("1978022D US Equity","SUPPLY_CHAIN_SUPPLIERS_FULL_DATA")</f>
        <v/>
      </c>
      <c r="PS5">
        <f>BDS("1978022D US Equity","SUPPLY_CHAIN_CUSTOMERS_FULL_DATA")</f>
        <v/>
      </c>
      <c r="QI5">
        <f>BDS("SGYPQ US Equity","SUPPLY_CHAIN_SUPPLIERS_FULL_DATA")</f>
        <v/>
      </c>
      <c r="QW5">
        <f>BDS("SGYPQ US Equity","SUPPLY_CHAIN_CUSTOMERS_FULL_DATA")</f>
        <v/>
      </c>
      <c r="RM5">
        <f>BDS("AIMC US Equity","SUPPLY_CHAIN_SUPPLIERS_FULL_DATA")</f>
        <v/>
      </c>
      <c r="SA5">
        <f>BDS("AIMC US Equity","SUPPLY_CHAIN_CUSTOMERS_FULL_DATA")</f>
        <v/>
      </c>
      <c r="SQ5">
        <f>BDS("MMM US Equity","SUPPLY_CHAIN_SUPPLIERS_FULL_DATA")</f>
        <v/>
      </c>
      <c r="TE5">
        <f>BDS("MMM US Equity","SUPPLY_CHAIN_CUSTOMERS_FULL_DATA")</f>
        <v/>
      </c>
      <c r="TU5">
        <f>BDS("ADP US Equity","SUPPLY_CHAIN_SUPPLIERS_FULL_DATA")</f>
        <v/>
      </c>
      <c r="UI5">
        <f>BDS("ADP US Equity","SUPPLY_CHAIN_CUSTOMERS_FULL_DATA")</f>
        <v/>
      </c>
      <c r="UY5">
        <f>BDS("DAR US Equity","SUPPLY_CHAIN_SUPPLIERS_FULL_DATA")</f>
        <v/>
      </c>
      <c r="VM5">
        <f>BDS("DAR US Equity","SUPPLY_CHAIN_CUSTOMERS_FULL_DATA")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3141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3142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3143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3144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3145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3146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3147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3148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3149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3150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3151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3152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3153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3154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3155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3156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3157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3158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3159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3160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MSCC US Equity</t>
        </is>
      </c>
      <c r="AE2" s="3" t="inlineStr">
        <is>
          <t>CY US Equity</t>
        </is>
      </c>
      <c r="BI2" s="3" t="inlineStr">
        <is>
          <t>DLX US Equity</t>
        </is>
      </c>
      <c r="CM2" s="3" t="inlineStr">
        <is>
          <t>QKKAQ US Equity</t>
        </is>
      </c>
      <c r="DQ2" s="3" t="inlineStr">
        <is>
          <t>HYSL US Equity</t>
        </is>
      </c>
      <c r="EU2" s="3" t="inlineStr">
        <is>
          <t>CDNS US Equity</t>
        </is>
      </c>
      <c r="FY2" s="3" t="inlineStr">
        <is>
          <t>GDT US Equity</t>
        </is>
      </c>
      <c r="HC2" s="3" t="inlineStr">
        <is>
          <t>AVY US Equity</t>
        </is>
      </c>
      <c r="IG2" s="3" t="inlineStr">
        <is>
          <t>ACCL US Equity</t>
        </is>
      </c>
      <c r="JK2" s="3" t="inlineStr">
        <is>
          <t>DWSN US Equity</t>
        </is>
      </c>
      <c r="KO2" s="3" t="inlineStr">
        <is>
          <t>GEOKQ US Equity</t>
        </is>
      </c>
      <c r="LS2" s="3" t="inlineStr">
        <is>
          <t>CAR US Equity</t>
        </is>
      </c>
      <c r="MW2" s="3" t="inlineStr">
        <is>
          <t>FNB US Equity</t>
        </is>
      </c>
      <c r="OA2" s="3" t="inlineStr">
        <is>
          <t>764144Q US Equity</t>
        </is>
      </c>
      <c r="PE2" s="3" t="inlineStr">
        <is>
          <t>CPNLQ US Equity</t>
        </is>
      </c>
      <c r="QI2" s="3" t="inlineStr">
        <is>
          <t>534689Q US Equity</t>
        </is>
      </c>
      <c r="RM2" s="3" t="inlineStr">
        <is>
          <t>UCB US Equity</t>
        </is>
      </c>
      <c r="SQ2" s="3" t="inlineStr">
        <is>
          <t>9895616Q US Equity</t>
        </is>
      </c>
      <c r="TU2" s="3" t="inlineStr">
        <is>
          <t>UB US Equity</t>
        </is>
      </c>
      <c r="UY2" s="3" t="inlineStr">
        <is>
          <t>9990253D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BDS("MSCC US Equity","SUPPLY_CHAIN_SUPPLIERS_FULL_DATA")</f>
        <v/>
      </c>
      <c r="O5">
        <f>BDS("MSCC US Equity","SUPPLY_CHAIN_CUSTOMERS_FULL_DATA")</f>
        <v/>
      </c>
      <c r="AE5">
        <f>BDS("CY US Equity","SUPPLY_CHAIN_SUPPLIERS_FULL_DATA")</f>
        <v/>
      </c>
      <c r="AS5">
        <f>BDS("CY US Equity","SUPPLY_CHAIN_CUSTOMERS_FULL_DATA")</f>
        <v/>
      </c>
      <c r="BI5">
        <f>BDS("DLX US Equity","SUPPLY_CHAIN_SUPPLIERS_FULL_DATA")</f>
        <v/>
      </c>
      <c r="BW5">
        <f>BDS("DLX US Equity","SUPPLY_CHAIN_CUSTOMERS_FULL_DATA")</f>
        <v/>
      </c>
      <c r="CM5">
        <f>BDS("QKKAQ US Equity","SUPPLY_CHAIN_SUPPLIERS_FULL_DATA")</f>
        <v/>
      </c>
      <c r="DA5">
        <f>BDS("QKKAQ US Equity","SUPPLY_CHAIN_CUSTOMERS_FULL_DATA")</f>
        <v/>
      </c>
      <c r="DQ5">
        <f>BDS("HYSL US Equity","SUPPLY_CHAIN_SUPPLIERS_FULL_DATA")</f>
        <v/>
      </c>
      <c r="EE5">
        <f>BDS("HYSL US Equity","SUPPLY_CHAIN_CUSTOMERS_FULL_DATA")</f>
        <v/>
      </c>
      <c r="EU5">
        <f>BDS("CDNS US Equity","SUPPLY_CHAIN_SUPPLIERS_FULL_DATA")</f>
        <v/>
      </c>
      <c r="FI5">
        <f>BDS("CDNS US Equity","SUPPLY_CHAIN_CUSTOMERS_FULL_DATA")</f>
        <v/>
      </c>
      <c r="FY5">
        <f>BDS("GDT US Equity","SUPPLY_CHAIN_SUPPLIERS_FULL_DATA")</f>
        <v/>
      </c>
      <c r="GM5">
        <f>BDS("GDT US Equity","SUPPLY_CHAIN_CUSTOMERS_FULL_DATA")</f>
        <v/>
      </c>
      <c r="HC5">
        <f>BDS("AVY US Equity","SUPPLY_CHAIN_SUPPLIERS_FULL_DATA")</f>
        <v/>
      </c>
      <c r="HQ5">
        <f>BDS("AVY US Equity","SUPPLY_CHAIN_CUSTOMERS_FULL_DATA")</f>
        <v/>
      </c>
      <c r="IG5">
        <f>BDS("ACCL US Equity","SUPPLY_CHAIN_SUPPLIERS_FULL_DATA")</f>
        <v/>
      </c>
      <c r="IU5">
        <f>BDS("ACCL US Equity","SUPPLY_CHAIN_CUSTOMERS_FULL_DATA")</f>
        <v/>
      </c>
      <c r="JK5">
        <f>BDS("DWSN US Equity","SUPPLY_CHAIN_SUPPLIERS_FULL_DATA")</f>
        <v/>
      </c>
      <c r="JY5">
        <f>BDS("DWSN US Equity","SUPPLY_CHAIN_CUSTOMERS_FULL_DATA")</f>
        <v/>
      </c>
      <c r="KO5">
        <f>BDS("GEOKQ US Equity","SUPPLY_CHAIN_SUPPLIERS_FULL_DATA")</f>
        <v/>
      </c>
      <c r="LC5">
        <f>BDS("GEOKQ US Equity","SUPPLY_CHAIN_CUSTOMERS_FULL_DATA")</f>
        <v/>
      </c>
      <c r="LS5">
        <f>BDS("CAR US Equity","SUPPLY_CHAIN_SUPPLIERS_FULL_DATA")</f>
        <v/>
      </c>
      <c r="MG5">
        <f>BDS("CAR US Equity","SUPPLY_CHAIN_CUSTOMERS_FULL_DATA")</f>
        <v/>
      </c>
      <c r="MW5">
        <f>BDS("FNB US Equity","SUPPLY_CHAIN_SUPPLIERS_FULL_DATA")</f>
        <v/>
      </c>
      <c r="NK5">
        <f>BDS("FNB US Equity","SUPPLY_CHAIN_CUSTOMERS_FULL_DATA")</f>
        <v/>
      </c>
      <c r="OA5">
        <f>BDS("764144Q US Equity","SUPPLY_CHAIN_SUPPLIERS_FULL_DATA")</f>
        <v/>
      </c>
      <c r="OO5">
        <f>BDS("764144Q US Equity","SUPPLY_CHAIN_CUSTOMERS_FULL_DATA")</f>
        <v/>
      </c>
      <c r="PE5">
        <f>BDS("CPNLQ US Equity","SUPPLY_CHAIN_SUPPLIERS_FULL_DATA")</f>
        <v/>
      </c>
      <c r="PS5">
        <f>BDS("CPNLQ US Equity","SUPPLY_CHAIN_CUSTOMERS_FULL_DATA")</f>
        <v/>
      </c>
      <c r="QI5">
        <f>BDS("534689Q US Equity","SUPPLY_CHAIN_SUPPLIERS_FULL_DATA")</f>
        <v/>
      </c>
      <c r="QW5">
        <f>BDS("534689Q US Equity","SUPPLY_CHAIN_CUSTOMERS_FULL_DATA")</f>
        <v/>
      </c>
      <c r="RM5">
        <f>BDS("UCB US Equity","SUPPLY_CHAIN_SUPPLIERS_FULL_DATA")</f>
        <v/>
      </c>
      <c r="SA5">
        <f>BDS("UCB US Equity","SUPPLY_CHAIN_CUSTOMERS_FULL_DATA")</f>
        <v/>
      </c>
      <c r="SQ5">
        <f>BDS("9895616Q US Equity","SUPPLY_CHAIN_SUPPLIERS_FULL_DATA")</f>
        <v/>
      </c>
      <c r="TE5">
        <f>BDS("9895616Q US Equity","SUPPLY_CHAIN_CUSTOMERS_FULL_DATA")</f>
        <v/>
      </c>
      <c r="TU5">
        <f>BDS("UB US Equity","SUPPLY_CHAIN_SUPPLIERS_FULL_DATA")</f>
        <v/>
      </c>
      <c r="UI5">
        <f>BDS("UB US Equity","SUPPLY_CHAIN_CUSTOMERS_FULL_DATA")</f>
        <v/>
      </c>
      <c r="UY5">
        <f>BDS("9990253D US Equity","SUPPLY_CHAIN_SUPPLIERS_FULL_DATA")</f>
        <v/>
      </c>
      <c r="VM5">
        <f>BDS("9990253D US Equity","SUPPLY_CHAIN_CUSTOMERS_FULL_DATA")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3161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3162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3163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3164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3165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3166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3167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3168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3169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3170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3171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3172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3173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3174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3175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3176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3177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3178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3179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3180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BBT US Equity</t>
        </is>
      </c>
      <c r="AE2" s="3" t="inlineStr">
        <is>
          <t>AMESQ US Equity</t>
        </is>
      </c>
      <c r="BI2" s="3" t="inlineStr">
        <is>
          <t>MTB US Equity</t>
        </is>
      </c>
      <c r="CM2" s="3" t="inlineStr">
        <is>
          <t>2847452Q US Equity</t>
        </is>
      </c>
      <c r="DQ2" s="3" t="inlineStr">
        <is>
          <t>TRAD US Equity</t>
        </is>
      </c>
      <c r="EU2" s="3" t="inlineStr">
        <is>
          <t>FULT US Equity</t>
        </is>
      </c>
      <c r="FY2" s="3" t="inlineStr">
        <is>
          <t>0897262D US Equity</t>
        </is>
      </c>
      <c r="HC2" s="3" t="inlineStr">
        <is>
          <t>TFC US Equity</t>
        </is>
      </c>
      <c r="IG2" s="3" t="inlineStr">
        <is>
          <t>540513Q US Equity</t>
        </is>
      </c>
      <c r="JK2" s="3" t="inlineStr">
        <is>
          <t>PFS US Equity</t>
        </is>
      </c>
      <c r="KO2" s="3" t="inlineStr">
        <is>
          <t>CNOB US Equity</t>
        </is>
      </c>
      <c r="LS2" s="3" t="inlineStr">
        <is>
          <t>PMB US Equity</t>
        </is>
      </c>
      <c r="MW2" s="3" t="inlineStr">
        <is>
          <t>CAR US Equity</t>
        </is>
      </c>
      <c r="OA2" s="3" t="inlineStr">
        <is>
          <t>INDB US Equity</t>
        </is>
      </c>
      <c r="PE2" s="3" t="inlineStr">
        <is>
          <t>DFODQ US Equity</t>
        </is>
      </c>
      <c r="QI2" s="3" t="inlineStr">
        <is>
          <t>0700734D US Equity</t>
        </is>
      </c>
      <c r="RM2" s="3" t="inlineStr">
        <is>
          <t>FRST US Equity</t>
        </is>
      </c>
      <c r="SQ2" s="3" t="inlineStr">
        <is>
          <t>CATC US Equity</t>
        </is>
      </c>
      <c r="TU2" s="3" t="inlineStr">
        <is>
          <t>ONEW US Equity</t>
        </is>
      </c>
      <c r="UY2" s="3" t="inlineStr">
        <is>
          <t>ARAY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BDS("BBT US Equity","SUPPLY_CHAIN_SUPPLIERS_FULL_DATA")</f>
        <v/>
      </c>
      <c r="O5">
        <f>BDS("BBT US Equity","SUPPLY_CHAIN_CUSTOMERS_FULL_DATA")</f>
        <v/>
      </c>
      <c r="AE5">
        <f>BDS("AMESQ US Equity","SUPPLY_CHAIN_SUPPLIERS_FULL_DATA")</f>
        <v/>
      </c>
      <c r="AS5">
        <f>BDS("AMESQ US Equity","SUPPLY_CHAIN_CUSTOMERS_FULL_DATA")</f>
        <v/>
      </c>
      <c r="BI5">
        <f>BDS("MTB US Equity","SUPPLY_CHAIN_SUPPLIERS_FULL_DATA")</f>
        <v/>
      </c>
      <c r="BW5">
        <f>BDS("MTB US Equity","SUPPLY_CHAIN_CUSTOMERS_FULL_DATA")</f>
        <v/>
      </c>
      <c r="CM5">
        <f>BDS("2847452Q US Equity","SUPPLY_CHAIN_SUPPLIERS_FULL_DATA")</f>
        <v/>
      </c>
      <c r="DA5">
        <f>BDS("2847452Q US Equity","SUPPLY_CHAIN_CUSTOMERS_FULL_DATA")</f>
        <v/>
      </c>
      <c r="DQ5">
        <f>BDS("TRAD US Equity","SUPPLY_CHAIN_SUPPLIERS_FULL_DATA")</f>
        <v/>
      </c>
      <c r="EE5">
        <f>BDS("TRAD US Equity","SUPPLY_CHAIN_CUSTOMERS_FULL_DATA")</f>
        <v/>
      </c>
      <c r="EU5">
        <f>BDS("FULT US Equity","SUPPLY_CHAIN_SUPPLIERS_FULL_DATA")</f>
        <v/>
      </c>
      <c r="FI5">
        <f>BDS("FULT US Equity","SUPPLY_CHAIN_CUSTOMERS_FULL_DATA")</f>
        <v/>
      </c>
      <c r="FY5">
        <f>BDS("0897262D US Equity","SUPPLY_CHAIN_SUPPLIERS_FULL_DATA")</f>
        <v/>
      </c>
      <c r="GM5">
        <f>BDS("0897262D US Equity","SUPPLY_CHAIN_CUSTOMERS_FULL_DATA")</f>
        <v/>
      </c>
      <c r="HC5">
        <f>BDS("TFC US Equity","SUPPLY_CHAIN_SUPPLIERS_FULL_DATA")</f>
        <v/>
      </c>
      <c r="HQ5">
        <f>BDS("TFC US Equity","SUPPLY_CHAIN_CUSTOMERS_FULL_DATA")</f>
        <v/>
      </c>
      <c r="IG5">
        <f>BDS("540513Q US Equity","SUPPLY_CHAIN_SUPPLIERS_FULL_DATA")</f>
        <v/>
      </c>
      <c r="IU5">
        <f>BDS("540513Q US Equity","SUPPLY_CHAIN_CUSTOMERS_FULL_DATA")</f>
        <v/>
      </c>
      <c r="JK5">
        <f>BDS("PFS US Equity","SUPPLY_CHAIN_SUPPLIERS_FULL_DATA")</f>
        <v/>
      </c>
      <c r="JY5">
        <f>BDS("PFS US Equity","SUPPLY_CHAIN_CUSTOMERS_FULL_DATA")</f>
        <v/>
      </c>
      <c r="KO5">
        <f>BDS("CNOB US Equity","SUPPLY_CHAIN_SUPPLIERS_FULL_DATA")</f>
        <v/>
      </c>
      <c r="LC5">
        <f>BDS("CNOB US Equity","SUPPLY_CHAIN_CUSTOMERS_FULL_DATA")</f>
        <v/>
      </c>
      <c r="LS5">
        <f>BDS("PMB US Equity","SUPPLY_CHAIN_SUPPLIERS_FULL_DATA")</f>
        <v/>
      </c>
      <c r="MG5">
        <f>BDS("PMB US Equity","SUPPLY_CHAIN_CUSTOMERS_FULL_DATA")</f>
        <v/>
      </c>
      <c r="MW5">
        <f>BDS("CAR US Equity","SUPPLY_CHAIN_SUPPLIERS_FULL_DATA")</f>
        <v/>
      </c>
      <c r="NK5">
        <f>BDS("CAR US Equity","SUPPLY_CHAIN_CUSTOMERS_FULL_DATA")</f>
        <v/>
      </c>
      <c r="OA5">
        <f>BDS("INDB US Equity","SUPPLY_CHAIN_SUPPLIERS_FULL_DATA")</f>
        <v/>
      </c>
      <c r="OO5">
        <f>BDS("INDB US Equity","SUPPLY_CHAIN_CUSTOMERS_FULL_DATA")</f>
        <v/>
      </c>
      <c r="PE5">
        <f>BDS("DFODQ US Equity","SUPPLY_CHAIN_SUPPLIERS_FULL_DATA")</f>
        <v/>
      </c>
      <c r="PS5">
        <f>BDS("DFODQ US Equity","SUPPLY_CHAIN_CUSTOMERS_FULL_DATA")</f>
        <v/>
      </c>
      <c r="QI5">
        <f>BDS("0700734D US Equity","SUPPLY_CHAIN_SUPPLIERS_FULL_DATA")</f>
        <v/>
      </c>
      <c r="QW5">
        <f>BDS("0700734D US Equity","SUPPLY_CHAIN_CUSTOMERS_FULL_DATA")</f>
        <v/>
      </c>
      <c r="RM5">
        <f>BDS("FRST US Equity","SUPPLY_CHAIN_SUPPLIERS_FULL_DATA")</f>
        <v/>
      </c>
      <c r="SA5">
        <f>BDS("FRST US Equity","SUPPLY_CHAIN_CUSTOMERS_FULL_DATA")</f>
        <v/>
      </c>
      <c r="SQ5">
        <f>BDS("CATC US Equity","SUPPLY_CHAIN_SUPPLIERS_FULL_DATA")</f>
        <v/>
      </c>
      <c r="TE5">
        <f>BDS("CATC US Equity","SUPPLY_CHAIN_CUSTOMERS_FULL_DATA")</f>
        <v/>
      </c>
      <c r="TU5">
        <f>BDS("ONEW US Equity","SUPPLY_CHAIN_SUPPLIERS_FULL_DATA")</f>
        <v/>
      </c>
      <c r="UI5">
        <f>BDS("ONEW US Equity","SUPPLY_CHAIN_CUSTOMERS_FULL_DATA")</f>
        <v/>
      </c>
      <c r="UY5">
        <f>BDS("ARAY US Equity","SUPPLY_CHAIN_SUPPLIERS_FULL_DATA")</f>
        <v/>
      </c>
      <c r="VM5">
        <f>BDS("ARAY US Equity","SUPPLY_CHAIN_CUSTOMERS_FULL_DATA")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3181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3182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3183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3184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3185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3186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3187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3188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3189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3190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3191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3192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3193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3194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3195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3196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3197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3198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3199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3200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EPIC US Equity</t>
        </is>
      </c>
      <c r="AE2" s="3" t="inlineStr">
        <is>
          <t>PSTRQ US Equity</t>
        </is>
      </c>
      <c r="BI2" s="3" t="inlineStr">
        <is>
          <t>CY US Equity</t>
        </is>
      </c>
      <c r="CM2" s="3" t="inlineStr">
        <is>
          <t>WM US Equity</t>
        </is>
      </c>
      <c r="DQ2" s="3" t="inlineStr">
        <is>
          <t>FRME US Equity</t>
        </is>
      </c>
      <c r="EU2" s="3" t="inlineStr">
        <is>
          <t>DZSIQ US Equity</t>
        </is>
      </c>
      <c r="FY2" s="3" t="inlineStr">
        <is>
          <t>AXE US Equity</t>
        </is>
      </c>
      <c r="HC2" s="3" t="inlineStr">
        <is>
          <t>TCF US Equity</t>
        </is>
      </c>
      <c r="IG2" s="3" t="inlineStr">
        <is>
          <t>MSI US Equity</t>
        </is>
      </c>
      <c r="JK2" s="3" t="inlineStr">
        <is>
          <t>CHZ US Equity</t>
        </is>
      </c>
      <c r="KO2" s="3" t="inlineStr">
        <is>
          <t>ECPN US Equity</t>
        </is>
      </c>
      <c r="LS2" s="3" t="inlineStr">
        <is>
          <t>NCF US Equity</t>
        </is>
      </c>
      <c r="MW2" s="3" t="inlineStr">
        <is>
          <t>CHDN US Equity</t>
        </is>
      </c>
      <c r="OA2" s="3" t="inlineStr">
        <is>
          <t>WFC US Equity</t>
        </is>
      </c>
      <c r="PE2" s="3" t="inlineStr">
        <is>
          <t>WLDN US Equity</t>
        </is>
      </c>
      <c r="QI2" s="3" t="inlineStr">
        <is>
          <t>SAFE US Equity</t>
        </is>
      </c>
      <c r="RM2" s="3" t="inlineStr">
        <is>
          <t>nan Equity</t>
        </is>
      </c>
      <c r="SQ2" s="3" t="inlineStr">
        <is>
          <t>DE US Equity</t>
        </is>
      </c>
      <c r="TU2" s="3" t="inlineStr">
        <is>
          <t>TMAV US Equity</t>
        </is>
      </c>
      <c r="UY2" s="3" t="inlineStr">
        <is>
          <t>PARR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BDS("EPIC US Equity","SUPPLY_CHAIN_SUPPLIERS_FULL_DATA")</f>
        <v/>
      </c>
      <c r="O5">
        <f>BDS("EPIC US Equity","SUPPLY_CHAIN_CUSTOMERS_FULL_DATA")</f>
        <v/>
      </c>
      <c r="AE5">
        <f>BDS("PSTRQ US Equity","SUPPLY_CHAIN_SUPPLIERS_FULL_DATA")</f>
        <v/>
      </c>
      <c r="AS5">
        <f>BDS("PSTRQ US Equity","SUPPLY_CHAIN_CUSTOMERS_FULL_DATA")</f>
        <v/>
      </c>
      <c r="BI5">
        <f>BDS("CY US Equity","SUPPLY_CHAIN_SUPPLIERS_FULL_DATA")</f>
        <v/>
      </c>
      <c r="BW5">
        <f>BDS("CY US Equity","SUPPLY_CHAIN_CUSTOMERS_FULL_DATA")</f>
        <v/>
      </c>
      <c r="CM5">
        <f>BDS("WM US Equity","SUPPLY_CHAIN_SUPPLIERS_FULL_DATA")</f>
        <v/>
      </c>
      <c r="DA5">
        <f>BDS("WM US Equity","SUPPLY_CHAIN_CUSTOMERS_FULL_DATA")</f>
        <v/>
      </c>
      <c r="DQ5">
        <f>BDS("FRME US Equity","SUPPLY_CHAIN_SUPPLIERS_FULL_DATA")</f>
        <v/>
      </c>
      <c r="EE5">
        <f>BDS("FRME US Equity","SUPPLY_CHAIN_CUSTOMERS_FULL_DATA")</f>
        <v/>
      </c>
      <c r="EU5">
        <f>BDS("DZSIQ US Equity","SUPPLY_CHAIN_SUPPLIERS_FULL_DATA")</f>
        <v/>
      </c>
      <c r="FI5">
        <f>BDS("DZSIQ US Equity","SUPPLY_CHAIN_CUSTOMERS_FULL_DATA")</f>
        <v/>
      </c>
      <c r="FY5">
        <f>BDS("AXE US Equity","SUPPLY_CHAIN_SUPPLIERS_FULL_DATA")</f>
        <v/>
      </c>
      <c r="GM5">
        <f>BDS("AXE US Equity","SUPPLY_CHAIN_CUSTOMERS_FULL_DATA")</f>
        <v/>
      </c>
      <c r="HC5">
        <f>BDS("TCF US Equity","SUPPLY_CHAIN_SUPPLIERS_FULL_DATA")</f>
        <v/>
      </c>
      <c r="HQ5">
        <f>BDS("TCF US Equity","SUPPLY_CHAIN_CUSTOMERS_FULL_DATA")</f>
        <v/>
      </c>
      <c r="IG5">
        <f>BDS("MSI US Equity","SUPPLY_CHAIN_SUPPLIERS_FULL_DATA")</f>
        <v/>
      </c>
      <c r="IU5">
        <f>BDS("MSI US Equity","SUPPLY_CHAIN_CUSTOMERS_FULL_DATA")</f>
        <v/>
      </c>
      <c r="JK5">
        <f>BDS("CHZ US Equity","SUPPLY_CHAIN_SUPPLIERS_FULL_DATA")</f>
        <v/>
      </c>
      <c r="JY5">
        <f>BDS("CHZ US Equity","SUPPLY_CHAIN_CUSTOMERS_FULL_DATA")</f>
        <v/>
      </c>
      <c r="KO5">
        <f>BDS("ECPN US Equity","SUPPLY_CHAIN_SUPPLIERS_FULL_DATA")</f>
        <v/>
      </c>
      <c r="LC5">
        <f>BDS("ECPN US Equity","SUPPLY_CHAIN_CUSTOMERS_FULL_DATA")</f>
        <v/>
      </c>
      <c r="LS5">
        <f>BDS("NCF US Equity","SUPPLY_CHAIN_SUPPLIERS_FULL_DATA")</f>
        <v/>
      </c>
      <c r="MG5">
        <f>BDS("NCF US Equity","SUPPLY_CHAIN_CUSTOMERS_FULL_DATA")</f>
        <v/>
      </c>
      <c r="MW5">
        <f>BDS("CHDN US Equity","SUPPLY_CHAIN_SUPPLIERS_FULL_DATA")</f>
        <v/>
      </c>
      <c r="NK5">
        <f>BDS("CHDN US Equity","SUPPLY_CHAIN_CUSTOMERS_FULL_DATA")</f>
        <v/>
      </c>
      <c r="OA5">
        <f>BDS("WFC US Equity","SUPPLY_CHAIN_SUPPLIERS_FULL_DATA")</f>
        <v/>
      </c>
      <c r="OO5">
        <f>BDS("WFC US Equity","SUPPLY_CHAIN_CUSTOMERS_FULL_DATA")</f>
        <v/>
      </c>
      <c r="PE5">
        <f>BDS("WLDN US Equity","SUPPLY_CHAIN_SUPPLIERS_FULL_DATA")</f>
        <v/>
      </c>
      <c r="PS5">
        <f>BDS("WLDN US Equity","SUPPLY_CHAIN_CUSTOMERS_FULL_DATA")</f>
        <v/>
      </c>
      <c r="QI5">
        <f>BDS("SAFE US Equity","SUPPLY_CHAIN_SUPPLIERS_FULL_DATA")</f>
        <v/>
      </c>
      <c r="QW5">
        <f>BDS("SAFE US Equity","SUPPLY_CHAIN_CUSTOMERS_FULL_DATA")</f>
        <v/>
      </c>
      <c r="RM5">
        <f>BDS("nan Equity","SUPPLY_CHAIN_SUPPLIERS_FULL_DATA")</f>
        <v/>
      </c>
      <c r="SA5">
        <f>BDS("nan Equity","SUPPLY_CHAIN_CUSTOMERS_FULL_DATA")</f>
        <v/>
      </c>
      <c r="SQ5">
        <f>BDS("DE US Equity","SUPPLY_CHAIN_SUPPLIERS_FULL_DATA")</f>
        <v/>
      </c>
      <c r="TE5">
        <f>BDS("DE US Equity","SUPPLY_CHAIN_CUSTOMERS_FULL_DATA")</f>
        <v/>
      </c>
      <c r="TU5">
        <f>BDS("TMAV US Equity","SUPPLY_CHAIN_SUPPLIERS_FULL_DATA")</f>
        <v/>
      </c>
      <c r="UI5">
        <f>BDS("TMAV US Equity","SUPPLY_CHAIN_CUSTOMERS_FULL_DATA")</f>
        <v/>
      </c>
      <c r="UY5">
        <f>BDS("PARR US Equity","SUPPLY_CHAIN_SUPPLIERS_FULL_DATA")</f>
        <v/>
      </c>
      <c r="VM5">
        <f>BDS("PARR US Equity","SUPPLY_CHAIN_CUSTOMERS_FULL_DATA")</f>
        <v/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3201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3202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3203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3204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3205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3206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3207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3208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3209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3210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3211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3212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3213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3214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3215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3216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3217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3218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3219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3220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VLY US Equity</t>
        </is>
      </c>
      <c r="AE2" s="3" t="inlineStr">
        <is>
          <t>CY US Equity</t>
        </is>
      </c>
      <c r="BI2" s="3" t="inlineStr">
        <is>
          <t>OLBK US Equity</t>
        </is>
      </c>
      <c r="CM2" s="3" t="inlineStr">
        <is>
          <t>2676187Q US Equity</t>
        </is>
      </c>
      <c r="DQ2" s="3" t="inlineStr">
        <is>
          <t>MTCH US Equity</t>
        </is>
      </c>
      <c r="EU2" s="3" t="inlineStr">
        <is>
          <t>NWBI US Equity</t>
        </is>
      </c>
      <c r="FY2" s="3" t="inlineStr">
        <is>
          <t>3075558Q US Equity</t>
        </is>
      </c>
      <c r="HC2" s="3" t="inlineStr">
        <is>
          <t>BFC US Equity</t>
        </is>
      </c>
      <c r="IG2" s="3" t="inlineStr">
        <is>
          <t>WTNY US Equity</t>
        </is>
      </c>
      <c r="JK2" s="3" t="inlineStr">
        <is>
          <t>ZRAN US Equity</t>
        </is>
      </c>
      <c r="KO2" s="3" t="inlineStr">
        <is>
          <t>LBAI US Equity</t>
        </is>
      </c>
      <c r="LS2" s="3" t="inlineStr">
        <is>
          <t>TIN US Equity</t>
        </is>
      </c>
      <c r="MW2" s="3" t="inlineStr">
        <is>
          <t>390297Q US Equity</t>
        </is>
      </c>
      <c r="OA2" s="3" t="inlineStr">
        <is>
          <t>TDFXQ US Equity</t>
        </is>
      </c>
      <c r="PE2" s="3" t="inlineStr">
        <is>
          <t>GWR US Equity</t>
        </is>
      </c>
      <c r="QI2" s="3" t="inlineStr">
        <is>
          <t>RSYS US Equity</t>
        </is>
      </c>
      <c r="RM2" s="3" t="inlineStr">
        <is>
          <t>OCAI US Equity</t>
        </is>
      </c>
      <c r="SQ2" s="3" t="inlineStr">
        <is>
          <t>355488Q US Equity</t>
        </is>
      </c>
      <c r="TU2" s="3" t="inlineStr">
        <is>
          <t>WSO US Equity</t>
        </is>
      </c>
      <c r="UY2" s="3" t="inlineStr">
        <is>
          <t>TFC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BDS("VLY US Equity","SUPPLY_CHAIN_SUPPLIERS_FULL_DATA")</f>
        <v/>
      </c>
      <c r="O5">
        <f>BDS("VLY US Equity","SUPPLY_CHAIN_CUSTOMERS_FULL_DATA")</f>
        <v/>
      </c>
      <c r="AE5">
        <f>BDS("CY US Equity","SUPPLY_CHAIN_SUPPLIERS_FULL_DATA")</f>
        <v/>
      </c>
      <c r="AS5">
        <f>BDS("CY US Equity","SUPPLY_CHAIN_CUSTOMERS_FULL_DATA")</f>
        <v/>
      </c>
      <c r="BI5">
        <f>BDS("OLBK US Equity","SUPPLY_CHAIN_SUPPLIERS_FULL_DATA")</f>
        <v/>
      </c>
      <c r="BW5">
        <f>BDS("OLBK US Equity","SUPPLY_CHAIN_CUSTOMERS_FULL_DATA")</f>
        <v/>
      </c>
      <c r="CM5">
        <f>BDS("2676187Q US Equity","SUPPLY_CHAIN_SUPPLIERS_FULL_DATA")</f>
        <v/>
      </c>
      <c r="DA5">
        <f>BDS("2676187Q US Equity","SUPPLY_CHAIN_CUSTOMERS_FULL_DATA")</f>
        <v/>
      </c>
      <c r="DQ5">
        <f>BDS("MTCH US Equity","SUPPLY_CHAIN_SUPPLIERS_FULL_DATA")</f>
        <v/>
      </c>
      <c r="EE5">
        <f>BDS("MTCH US Equity","SUPPLY_CHAIN_CUSTOMERS_FULL_DATA")</f>
        <v/>
      </c>
      <c r="EU5">
        <f>BDS("NWBI US Equity","SUPPLY_CHAIN_SUPPLIERS_FULL_DATA")</f>
        <v/>
      </c>
      <c r="FI5">
        <f>BDS("NWBI US Equity","SUPPLY_CHAIN_CUSTOMERS_FULL_DATA")</f>
        <v/>
      </c>
      <c r="FY5">
        <f>BDS("3075558Q US Equity","SUPPLY_CHAIN_SUPPLIERS_FULL_DATA")</f>
        <v/>
      </c>
      <c r="GM5">
        <f>BDS("3075558Q US Equity","SUPPLY_CHAIN_CUSTOMERS_FULL_DATA")</f>
        <v/>
      </c>
      <c r="HC5">
        <f>BDS("BFC US Equity","SUPPLY_CHAIN_SUPPLIERS_FULL_DATA")</f>
        <v/>
      </c>
      <c r="HQ5">
        <f>BDS("BFC US Equity","SUPPLY_CHAIN_CUSTOMERS_FULL_DATA")</f>
        <v/>
      </c>
      <c r="IG5">
        <f>BDS("WTNY US Equity","SUPPLY_CHAIN_SUPPLIERS_FULL_DATA")</f>
        <v/>
      </c>
      <c r="IU5">
        <f>BDS("WTNY US Equity","SUPPLY_CHAIN_CUSTOMERS_FULL_DATA")</f>
        <v/>
      </c>
      <c r="JK5">
        <f>BDS("ZRAN US Equity","SUPPLY_CHAIN_SUPPLIERS_FULL_DATA")</f>
        <v/>
      </c>
      <c r="JY5">
        <f>BDS("ZRAN US Equity","SUPPLY_CHAIN_CUSTOMERS_FULL_DATA")</f>
        <v/>
      </c>
      <c r="KO5">
        <f>BDS("LBAI US Equity","SUPPLY_CHAIN_SUPPLIERS_FULL_DATA")</f>
        <v/>
      </c>
      <c r="LC5">
        <f>BDS("LBAI US Equity","SUPPLY_CHAIN_CUSTOMERS_FULL_DATA")</f>
        <v/>
      </c>
      <c r="LS5">
        <f>BDS("TIN US Equity","SUPPLY_CHAIN_SUPPLIERS_FULL_DATA")</f>
        <v/>
      </c>
      <c r="MG5">
        <f>BDS("TIN US Equity","SUPPLY_CHAIN_CUSTOMERS_FULL_DATA")</f>
        <v/>
      </c>
      <c r="MW5">
        <f>BDS("390297Q US Equity","SUPPLY_CHAIN_SUPPLIERS_FULL_DATA")</f>
        <v/>
      </c>
      <c r="NK5">
        <f>BDS("390297Q US Equity","SUPPLY_CHAIN_CUSTOMERS_FULL_DATA")</f>
        <v/>
      </c>
      <c r="OA5">
        <f>BDS("TDFXQ US Equity","SUPPLY_CHAIN_SUPPLIERS_FULL_DATA")</f>
        <v/>
      </c>
      <c r="OO5">
        <f>BDS("TDFXQ US Equity","SUPPLY_CHAIN_CUSTOMERS_FULL_DATA")</f>
        <v/>
      </c>
      <c r="PE5">
        <f>BDS("GWR US Equity","SUPPLY_CHAIN_SUPPLIERS_FULL_DATA")</f>
        <v/>
      </c>
      <c r="PS5">
        <f>BDS("GWR US Equity","SUPPLY_CHAIN_CUSTOMERS_FULL_DATA")</f>
        <v/>
      </c>
      <c r="QI5">
        <f>BDS("RSYS US Equity","SUPPLY_CHAIN_SUPPLIERS_FULL_DATA")</f>
        <v/>
      </c>
      <c r="QW5">
        <f>BDS("RSYS US Equity","SUPPLY_CHAIN_CUSTOMERS_FULL_DATA")</f>
        <v/>
      </c>
      <c r="RM5">
        <f>BDS("OCAI US Equity","SUPPLY_CHAIN_SUPPLIERS_FULL_DATA")</f>
        <v/>
      </c>
      <c r="SA5">
        <f>BDS("OCAI US Equity","SUPPLY_CHAIN_CUSTOMERS_FULL_DATA")</f>
        <v/>
      </c>
      <c r="SQ5">
        <f>BDS("355488Q US Equity","SUPPLY_CHAIN_SUPPLIERS_FULL_DATA")</f>
        <v/>
      </c>
      <c r="TE5">
        <f>BDS("355488Q US Equity","SUPPLY_CHAIN_CUSTOMERS_FULL_DATA")</f>
        <v/>
      </c>
      <c r="TU5">
        <f>BDS("WSO US Equity","SUPPLY_CHAIN_SUPPLIERS_FULL_DATA")</f>
        <v/>
      </c>
      <c r="UI5">
        <f>BDS("WSO US Equity","SUPPLY_CHAIN_CUSTOMERS_FULL_DATA")</f>
        <v/>
      </c>
      <c r="UY5">
        <f>BDS("TFC US Equity","SUPPLY_CHAIN_SUPPLIERS_FULL_DATA")</f>
        <v/>
      </c>
      <c r="VM5">
        <f>BDS("TFC US Equity","SUPPLY_CHAIN_CUSTOMERS_FULL_DATA")</f>
        <v/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3221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3222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3223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3224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3225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3226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3227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3228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3229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3230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3231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3232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3233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3234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3235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3236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3237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3238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3239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3240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DME US Equity</t>
        </is>
      </c>
      <c r="AE2" s="3" t="inlineStr">
        <is>
          <t>SNV US Equity</t>
        </is>
      </c>
      <c r="BI2" s="3" t="inlineStr">
        <is>
          <t>NCOG US Equity</t>
        </is>
      </c>
      <c r="CM2" s="3" t="inlineStr">
        <is>
          <t>RESC US Equity</t>
        </is>
      </c>
      <c r="DQ2" s="3" t="inlineStr">
        <is>
          <t>IWLC US Equity</t>
        </is>
      </c>
      <c r="EU2" s="3" t="inlineStr">
        <is>
          <t>3346Q US Equity</t>
        </is>
      </c>
      <c r="FY2" s="3" t="inlineStr">
        <is>
          <t>BPFH US Equity</t>
        </is>
      </c>
      <c r="HC2" s="3" t="inlineStr">
        <is>
          <t>AMCC US Equity</t>
        </is>
      </c>
      <c r="IG2" s="3" t="inlineStr">
        <is>
          <t>CW US Equity</t>
        </is>
      </c>
      <c r="JK2" s="3" t="inlineStr">
        <is>
          <t>NAL US Equity</t>
        </is>
      </c>
      <c r="KO2" s="3" t="inlineStr">
        <is>
          <t>ODSY US Equity</t>
        </is>
      </c>
      <c r="LS2" s="3" t="inlineStr">
        <is>
          <t>OSBC US Equity</t>
        </is>
      </c>
      <c r="MW2" s="3" t="inlineStr">
        <is>
          <t>AON US Equity</t>
        </is>
      </c>
      <c r="OA2" s="3" t="inlineStr">
        <is>
          <t>WAI US Equity</t>
        </is>
      </c>
      <c r="PE2" s="3" t="inlineStr">
        <is>
          <t>INVA US Equity</t>
        </is>
      </c>
      <c r="QI2" s="3" t="inlineStr">
        <is>
          <t>TSFG US Equity</t>
        </is>
      </c>
      <c r="RM2" s="3" t="inlineStr">
        <is>
          <t>LTWC US Equity</t>
        </is>
      </c>
      <c r="SQ2" s="3" t="inlineStr">
        <is>
          <t>RNST US Equity</t>
        </is>
      </c>
      <c r="TU2" s="3" t="inlineStr">
        <is>
          <t>SKYW US Equity</t>
        </is>
      </c>
      <c r="UY2" s="3" t="inlineStr">
        <is>
          <t>BMTC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BDS("DME US Equity","SUPPLY_CHAIN_SUPPLIERS_FULL_DATA")</f>
        <v/>
      </c>
      <c r="O5">
        <f>BDS("DME US Equity","SUPPLY_CHAIN_CUSTOMERS_FULL_DATA")</f>
        <v/>
      </c>
      <c r="AE5">
        <f>BDS("SNV US Equity","SUPPLY_CHAIN_SUPPLIERS_FULL_DATA")</f>
        <v/>
      </c>
      <c r="AS5">
        <f>BDS("SNV US Equity","SUPPLY_CHAIN_CUSTOMERS_FULL_DATA")</f>
        <v/>
      </c>
      <c r="BI5">
        <f>BDS("NCOG US Equity","SUPPLY_CHAIN_SUPPLIERS_FULL_DATA")</f>
        <v/>
      </c>
      <c r="BW5">
        <f>BDS("NCOG US Equity","SUPPLY_CHAIN_CUSTOMERS_FULL_DATA")</f>
        <v/>
      </c>
      <c r="CM5">
        <f>BDS("RESC US Equity","SUPPLY_CHAIN_SUPPLIERS_FULL_DATA")</f>
        <v/>
      </c>
      <c r="DA5">
        <f>BDS("RESC US Equity","SUPPLY_CHAIN_CUSTOMERS_FULL_DATA")</f>
        <v/>
      </c>
      <c r="DQ5">
        <f>BDS("IWLC US Equity","SUPPLY_CHAIN_SUPPLIERS_FULL_DATA")</f>
        <v/>
      </c>
      <c r="EE5">
        <f>BDS("IWLC US Equity","SUPPLY_CHAIN_CUSTOMERS_FULL_DATA")</f>
        <v/>
      </c>
      <c r="EU5">
        <f>BDS("3346Q US Equity","SUPPLY_CHAIN_SUPPLIERS_FULL_DATA")</f>
        <v/>
      </c>
      <c r="FI5">
        <f>BDS("3346Q US Equity","SUPPLY_CHAIN_CUSTOMERS_FULL_DATA")</f>
        <v/>
      </c>
      <c r="FY5">
        <f>BDS("BPFH US Equity","SUPPLY_CHAIN_SUPPLIERS_FULL_DATA")</f>
        <v/>
      </c>
      <c r="GM5">
        <f>BDS("BPFH US Equity","SUPPLY_CHAIN_CUSTOMERS_FULL_DATA")</f>
        <v/>
      </c>
      <c r="HC5">
        <f>BDS("AMCC US Equity","SUPPLY_CHAIN_SUPPLIERS_FULL_DATA")</f>
        <v/>
      </c>
      <c r="HQ5">
        <f>BDS("AMCC US Equity","SUPPLY_CHAIN_CUSTOMERS_FULL_DATA")</f>
        <v/>
      </c>
      <c r="IG5">
        <f>BDS("CW US Equity","SUPPLY_CHAIN_SUPPLIERS_FULL_DATA")</f>
        <v/>
      </c>
      <c r="IU5">
        <f>BDS("CW US Equity","SUPPLY_CHAIN_CUSTOMERS_FULL_DATA")</f>
        <v/>
      </c>
      <c r="JK5">
        <f>BDS("NAL US Equity","SUPPLY_CHAIN_SUPPLIERS_FULL_DATA")</f>
        <v/>
      </c>
      <c r="JY5">
        <f>BDS("NAL US Equity","SUPPLY_CHAIN_CUSTOMERS_FULL_DATA")</f>
        <v/>
      </c>
      <c r="KO5">
        <f>BDS("ODSY US Equity","SUPPLY_CHAIN_SUPPLIERS_FULL_DATA")</f>
        <v/>
      </c>
      <c r="LC5">
        <f>BDS("ODSY US Equity","SUPPLY_CHAIN_CUSTOMERS_FULL_DATA")</f>
        <v/>
      </c>
      <c r="LS5">
        <f>BDS("OSBC US Equity","SUPPLY_CHAIN_SUPPLIERS_FULL_DATA")</f>
        <v/>
      </c>
      <c r="MG5">
        <f>BDS("OSBC US Equity","SUPPLY_CHAIN_CUSTOMERS_FULL_DATA")</f>
        <v/>
      </c>
      <c r="MW5">
        <f>BDS("AON US Equity","SUPPLY_CHAIN_SUPPLIERS_FULL_DATA")</f>
        <v/>
      </c>
      <c r="NK5">
        <f>BDS("AON US Equity","SUPPLY_CHAIN_CUSTOMERS_FULL_DATA")</f>
        <v/>
      </c>
      <c r="OA5">
        <f>BDS("WAI US Equity","SUPPLY_CHAIN_SUPPLIERS_FULL_DATA")</f>
        <v/>
      </c>
      <c r="OO5">
        <f>BDS("WAI US Equity","SUPPLY_CHAIN_CUSTOMERS_FULL_DATA")</f>
        <v/>
      </c>
      <c r="PE5">
        <f>BDS("INVA US Equity","SUPPLY_CHAIN_SUPPLIERS_FULL_DATA")</f>
        <v/>
      </c>
      <c r="PS5">
        <f>BDS("INVA US Equity","SUPPLY_CHAIN_CUSTOMERS_FULL_DATA")</f>
        <v/>
      </c>
      <c r="QI5">
        <f>BDS("TSFG US Equity","SUPPLY_CHAIN_SUPPLIERS_FULL_DATA")</f>
        <v/>
      </c>
      <c r="QW5">
        <f>BDS("TSFG US Equity","SUPPLY_CHAIN_CUSTOMERS_FULL_DATA")</f>
        <v/>
      </c>
      <c r="RM5">
        <f>BDS("LTWC US Equity","SUPPLY_CHAIN_SUPPLIERS_FULL_DATA")</f>
        <v/>
      </c>
      <c r="SA5">
        <f>BDS("LTWC US Equity","SUPPLY_CHAIN_CUSTOMERS_FULL_DATA")</f>
        <v/>
      </c>
      <c r="SQ5">
        <f>BDS("RNST US Equity","SUPPLY_CHAIN_SUPPLIERS_FULL_DATA")</f>
        <v/>
      </c>
      <c r="TE5">
        <f>BDS("RNST US Equity","SUPPLY_CHAIN_CUSTOMERS_FULL_DATA")</f>
        <v/>
      </c>
      <c r="TU5">
        <f>BDS("SKYW US Equity","SUPPLY_CHAIN_SUPPLIERS_FULL_DATA")</f>
        <v/>
      </c>
      <c r="UI5">
        <f>BDS("SKYW US Equity","SUPPLY_CHAIN_CUSTOMERS_FULL_DATA")</f>
        <v/>
      </c>
      <c r="UY5">
        <f>BDS("BMTC US Equity","SUPPLY_CHAIN_SUPPLIERS_FULL_DATA")</f>
        <v/>
      </c>
      <c r="VM5">
        <f>BDS("BMTC US Equity","SUPPLY_CHAIN_CUSTOMERS_FULL_DATA")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3241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3242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3243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3244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3245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3246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3247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3248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3249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3250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3251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3252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3253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3254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3255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3256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3257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3258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3259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3260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KTO US Equity</t>
        </is>
      </c>
      <c r="AE2" s="3" t="inlineStr">
        <is>
          <t>CTLT US Equity</t>
        </is>
      </c>
      <c r="BI2" s="3" t="inlineStr">
        <is>
          <t>TSA US Equity</t>
        </is>
      </c>
      <c r="CM2" s="3" t="inlineStr">
        <is>
          <t>ASRT US Equity</t>
        </is>
      </c>
      <c r="DQ2" s="3" t="inlineStr">
        <is>
          <t>INTU US Equity</t>
        </is>
      </c>
      <c r="EU2" s="3" t="inlineStr">
        <is>
          <t>CNVR US Equity</t>
        </is>
      </c>
      <c r="FY2" s="3" t="inlineStr">
        <is>
          <t>FSTR US Equity</t>
        </is>
      </c>
      <c r="HC2" s="3" t="inlineStr">
        <is>
          <t>CAMPQ US Equity</t>
        </is>
      </c>
      <c r="IG2" s="3" t="inlineStr">
        <is>
          <t>3406956Q US Equity</t>
        </is>
      </c>
      <c r="JK2" s="3" t="inlineStr">
        <is>
          <t>FNB US Equity</t>
        </is>
      </c>
      <c r="KO2" s="3" t="inlineStr">
        <is>
          <t>604898Q US Equity</t>
        </is>
      </c>
      <c r="LS2" s="3" t="inlineStr">
        <is>
          <t>WM US Equity</t>
        </is>
      </c>
      <c r="MW2" s="3" t="inlineStr">
        <is>
          <t>2185054D US Equity</t>
        </is>
      </c>
      <c r="OA2" s="3" t="inlineStr">
        <is>
          <t>PSTB US Equity</t>
        </is>
      </c>
      <c r="PE2" s="3" t="inlineStr">
        <is>
          <t>VIAS US Equity</t>
        </is>
      </c>
      <c r="QI2" s="3" t="inlineStr">
        <is>
          <t>WNEB US Equity</t>
        </is>
      </c>
      <c r="RM2" s="3" t="inlineStr">
        <is>
          <t>CALX US Equity</t>
        </is>
      </c>
      <c r="SQ2" s="3" t="inlineStr">
        <is>
          <t>BBT US Equity</t>
        </is>
      </c>
      <c r="TU2" s="3" t="inlineStr">
        <is>
          <t>CHZ US Equity</t>
        </is>
      </c>
      <c r="UY2" s="3" t="inlineStr">
        <is>
          <t>CSTR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BDS("KTO US Equity","SUPPLY_CHAIN_SUPPLIERS_FULL_DATA")</f>
        <v/>
      </c>
      <c r="O5">
        <f>BDS("KTO US Equity","SUPPLY_CHAIN_CUSTOMERS_FULL_DATA")</f>
        <v/>
      </c>
      <c r="AE5">
        <f>BDS("CTLT US Equity","SUPPLY_CHAIN_SUPPLIERS_FULL_DATA")</f>
        <v/>
      </c>
      <c r="AS5">
        <f>BDS("CTLT US Equity","SUPPLY_CHAIN_CUSTOMERS_FULL_DATA")</f>
        <v/>
      </c>
      <c r="BI5">
        <f>BDS("TSA US Equity","SUPPLY_CHAIN_SUPPLIERS_FULL_DATA")</f>
        <v/>
      </c>
      <c r="BW5">
        <f>BDS("TSA US Equity","SUPPLY_CHAIN_CUSTOMERS_FULL_DATA")</f>
        <v/>
      </c>
      <c r="CM5">
        <f>BDS("ASRT US Equity","SUPPLY_CHAIN_SUPPLIERS_FULL_DATA")</f>
        <v/>
      </c>
      <c r="DA5">
        <f>BDS("ASRT US Equity","SUPPLY_CHAIN_CUSTOMERS_FULL_DATA")</f>
        <v/>
      </c>
      <c r="DQ5">
        <f>BDS("INTU US Equity","SUPPLY_CHAIN_SUPPLIERS_FULL_DATA")</f>
        <v/>
      </c>
      <c r="EE5">
        <f>BDS("INTU US Equity","SUPPLY_CHAIN_CUSTOMERS_FULL_DATA")</f>
        <v/>
      </c>
      <c r="EU5">
        <f>BDS("CNVR US Equity","SUPPLY_CHAIN_SUPPLIERS_FULL_DATA")</f>
        <v/>
      </c>
      <c r="FI5">
        <f>BDS("CNVR US Equity","SUPPLY_CHAIN_CUSTOMERS_FULL_DATA")</f>
        <v/>
      </c>
      <c r="FY5">
        <f>BDS("FSTR US Equity","SUPPLY_CHAIN_SUPPLIERS_FULL_DATA")</f>
        <v/>
      </c>
      <c r="GM5">
        <f>BDS("FSTR US Equity","SUPPLY_CHAIN_CUSTOMERS_FULL_DATA")</f>
        <v/>
      </c>
      <c r="HC5">
        <f>BDS("CAMPQ US Equity","SUPPLY_CHAIN_SUPPLIERS_FULL_DATA")</f>
        <v/>
      </c>
      <c r="HQ5">
        <f>BDS("CAMPQ US Equity","SUPPLY_CHAIN_CUSTOMERS_FULL_DATA")</f>
        <v/>
      </c>
      <c r="IG5">
        <f>BDS("3406956Q US Equity","SUPPLY_CHAIN_SUPPLIERS_FULL_DATA")</f>
        <v/>
      </c>
      <c r="IU5">
        <f>BDS("3406956Q US Equity","SUPPLY_CHAIN_CUSTOMERS_FULL_DATA")</f>
        <v/>
      </c>
      <c r="JK5">
        <f>BDS("FNB US Equity","SUPPLY_CHAIN_SUPPLIERS_FULL_DATA")</f>
        <v/>
      </c>
      <c r="JY5">
        <f>BDS("FNB US Equity","SUPPLY_CHAIN_CUSTOMERS_FULL_DATA")</f>
        <v/>
      </c>
      <c r="KO5">
        <f>BDS("604898Q US Equity","SUPPLY_CHAIN_SUPPLIERS_FULL_DATA")</f>
        <v/>
      </c>
      <c r="LC5">
        <f>BDS("604898Q US Equity","SUPPLY_CHAIN_CUSTOMERS_FULL_DATA")</f>
        <v/>
      </c>
      <c r="LS5">
        <f>BDS("WM US Equity","SUPPLY_CHAIN_SUPPLIERS_FULL_DATA")</f>
        <v/>
      </c>
      <c r="MG5">
        <f>BDS("WM US Equity","SUPPLY_CHAIN_CUSTOMERS_FULL_DATA")</f>
        <v/>
      </c>
      <c r="MW5">
        <f>BDS("2185054D US Equity","SUPPLY_CHAIN_SUPPLIERS_FULL_DATA")</f>
        <v/>
      </c>
      <c r="NK5">
        <f>BDS("2185054D US Equity","SUPPLY_CHAIN_CUSTOMERS_FULL_DATA")</f>
        <v/>
      </c>
      <c r="OA5">
        <f>BDS("PSTB US Equity","SUPPLY_CHAIN_SUPPLIERS_FULL_DATA")</f>
        <v/>
      </c>
      <c r="OO5">
        <f>BDS("PSTB US Equity","SUPPLY_CHAIN_CUSTOMERS_FULL_DATA")</f>
        <v/>
      </c>
      <c r="PE5">
        <f>BDS("VIAS US Equity","SUPPLY_CHAIN_SUPPLIERS_FULL_DATA")</f>
        <v/>
      </c>
      <c r="PS5">
        <f>BDS("VIAS US Equity","SUPPLY_CHAIN_CUSTOMERS_FULL_DATA")</f>
        <v/>
      </c>
      <c r="QI5">
        <f>BDS("WNEB US Equity","SUPPLY_CHAIN_SUPPLIERS_FULL_DATA")</f>
        <v/>
      </c>
      <c r="QW5">
        <f>BDS("WNEB US Equity","SUPPLY_CHAIN_CUSTOMERS_FULL_DATA")</f>
        <v/>
      </c>
      <c r="RM5">
        <f>BDS("CALX US Equity","SUPPLY_CHAIN_SUPPLIERS_FULL_DATA")</f>
        <v/>
      </c>
      <c r="SA5">
        <f>BDS("CALX US Equity","SUPPLY_CHAIN_CUSTOMERS_FULL_DATA")</f>
        <v/>
      </c>
      <c r="SQ5">
        <f>BDS("BBT US Equity","SUPPLY_CHAIN_SUPPLIERS_FULL_DATA")</f>
        <v/>
      </c>
      <c r="TE5">
        <f>BDS("BBT US Equity","SUPPLY_CHAIN_CUSTOMERS_FULL_DATA")</f>
        <v/>
      </c>
      <c r="TU5">
        <f>BDS("CHZ US Equity","SUPPLY_CHAIN_SUPPLIERS_FULL_DATA")</f>
        <v/>
      </c>
      <c r="UI5">
        <f>BDS("CHZ US Equity","SUPPLY_CHAIN_CUSTOMERS_FULL_DATA")</f>
        <v/>
      </c>
      <c r="UY5">
        <f>BDS("CSTR US Equity","SUPPLY_CHAIN_SUPPLIERS_FULL_DATA")</f>
        <v/>
      </c>
      <c r="VM5">
        <f>BDS("CSTR US Equity","SUPPLY_CHAIN_CUSTOMERS_FULL_DATA")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3261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3262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3263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3264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3265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3266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3267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3268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3269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3270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3271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3272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3273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3274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3275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3276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3277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3278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3279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3280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3867693Z US Equity</t>
        </is>
      </c>
      <c r="AE2" s="3" t="inlineStr">
        <is>
          <t>BBT US Equity</t>
        </is>
      </c>
      <c r="BI2" s="3" t="inlineStr">
        <is>
          <t>2676187Q US Equity</t>
        </is>
      </c>
      <c r="CM2" s="3" t="inlineStr">
        <is>
          <t>TWGP US Equity</t>
        </is>
      </c>
      <c r="DQ2" s="3" t="inlineStr">
        <is>
          <t>LVLT US Equity</t>
        </is>
      </c>
      <c r="EU2" s="3" t="inlineStr">
        <is>
          <t>DTSI US Equity</t>
        </is>
      </c>
      <c r="FY2" s="3" t="inlineStr">
        <is>
          <t>SYMM US Equity</t>
        </is>
      </c>
      <c r="HC2" s="3" t="inlineStr">
        <is>
          <t>FRME US Equity</t>
        </is>
      </c>
      <c r="IG2" s="3" t="inlineStr">
        <is>
          <t>DVD US Equity</t>
        </is>
      </c>
      <c r="JK2" s="3" t="inlineStr">
        <is>
          <t>CAR US Equity</t>
        </is>
      </c>
      <c r="KO2" s="3" t="inlineStr">
        <is>
          <t>9876549D US Equity</t>
        </is>
      </c>
      <c r="LS2" s="3" t="inlineStr">
        <is>
          <t>PPBI US Equity</t>
        </is>
      </c>
      <c r="MW2" s="3" t="inlineStr">
        <is>
          <t>RAMP US Equity</t>
        </is>
      </c>
      <c r="OA2" s="3" t="inlineStr">
        <is>
          <t>1916526D US Equity</t>
        </is>
      </c>
      <c r="PE2" s="3" t="inlineStr">
        <is>
          <t>LEN US Equity</t>
        </is>
      </c>
      <c r="QI2" s="3" t="inlineStr">
        <is>
          <t>DLB US Equity</t>
        </is>
      </c>
      <c r="RM2" s="3" t="inlineStr">
        <is>
          <t>78651Q US Equity</t>
        </is>
      </c>
      <c r="SQ2" s="3" t="inlineStr">
        <is>
          <t>1495787D US Equity</t>
        </is>
      </c>
      <c r="TU2" s="3" t="inlineStr">
        <is>
          <t>RARE US Equity</t>
        </is>
      </c>
      <c r="UY2" s="3" t="inlineStr">
        <is>
          <t>SBLUQ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BDS("3867693Z US Equity","SUPPLY_CHAIN_SUPPLIERS_FULL_DATA")</f>
        <v/>
      </c>
      <c r="O5">
        <f>BDS("3867693Z US Equity","SUPPLY_CHAIN_CUSTOMERS_FULL_DATA")</f>
        <v/>
      </c>
      <c r="AE5">
        <f>BDS("BBT US Equity","SUPPLY_CHAIN_SUPPLIERS_FULL_DATA")</f>
        <v/>
      </c>
      <c r="AS5">
        <f>BDS("BBT US Equity","SUPPLY_CHAIN_CUSTOMERS_FULL_DATA")</f>
        <v/>
      </c>
      <c r="BI5">
        <f>BDS("2676187Q US Equity","SUPPLY_CHAIN_SUPPLIERS_FULL_DATA")</f>
        <v/>
      </c>
      <c r="BW5">
        <f>BDS("2676187Q US Equity","SUPPLY_CHAIN_CUSTOMERS_FULL_DATA")</f>
        <v/>
      </c>
      <c r="CM5">
        <f>BDS("TWGP US Equity","SUPPLY_CHAIN_SUPPLIERS_FULL_DATA")</f>
        <v/>
      </c>
      <c r="DA5">
        <f>BDS("TWGP US Equity","SUPPLY_CHAIN_CUSTOMERS_FULL_DATA")</f>
        <v/>
      </c>
      <c r="DQ5">
        <f>BDS("LVLT US Equity","SUPPLY_CHAIN_SUPPLIERS_FULL_DATA")</f>
        <v/>
      </c>
      <c r="EE5">
        <f>BDS("LVLT US Equity","SUPPLY_CHAIN_CUSTOMERS_FULL_DATA")</f>
        <v/>
      </c>
      <c r="EU5">
        <f>BDS("DTSI US Equity","SUPPLY_CHAIN_SUPPLIERS_FULL_DATA")</f>
        <v/>
      </c>
      <c r="FI5">
        <f>BDS("DTSI US Equity","SUPPLY_CHAIN_CUSTOMERS_FULL_DATA")</f>
        <v/>
      </c>
      <c r="FY5">
        <f>BDS("SYMM US Equity","SUPPLY_CHAIN_SUPPLIERS_FULL_DATA")</f>
        <v/>
      </c>
      <c r="GM5">
        <f>BDS("SYMM US Equity","SUPPLY_CHAIN_CUSTOMERS_FULL_DATA")</f>
        <v/>
      </c>
      <c r="HC5">
        <f>BDS("FRME US Equity","SUPPLY_CHAIN_SUPPLIERS_FULL_DATA")</f>
        <v/>
      </c>
      <c r="HQ5">
        <f>BDS("FRME US Equity","SUPPLY_CHAIN_CUSTOMERS_FULL_DATA")</f>
        <v/>
      </c>
      <c r="IG5">
        <f>BDS("DVD US Equity","SUPPLY_CHAIN_SUPPLIERS_FULL_DATA")</f>
        <v/>
      </c>
      <c r="IU5">
        <f>BDS("DVD US Equity","SUPPLY_CHAIN_CUSTOMERS_FULL_DATA")</f>
        <v/>
      </c>
      <c r="JK5">
        <f>BDS("CAR US Equity","SUPPLY_CHAIN_SUPPLIERS_FULL_DATA")</f>
        <v/>
      </c>
      <c r="JY5">
        <f>BDS("CAR US Equity","SUPPLY_CHAIN_CUSTOMERS_FULL_DATA")</f>
        <v/>
      </c>
      <c r="KO5">
        <f>BDS("9876549D US Equity","SUPPLY_CHAIN_SUPPLIERS_FULL_DATA")</f>
        <v/>
      </c>
      <c r="LC5">
        <f>BDS("9876549D US Equity","SUPPLY_CHAIN_CUSTOMERS_FULL_DATA")</f>
        <v/>
      </c>
      <c r="LS5">
        <f>BDS("PPBI US Equity","SUPPLY_CHAIN_SUPPLIERS_FULL_DATA")</f>
        <v/>
      </c>
      <c r="MG5">
        <f>BDS("PPBI US Equity","SUPPLY_CHAIN_CUSTOMERS_FULL_DATA")</f>
        <v/>
      </c>
      <c r="MW5">
        <f>BDS("RAMP US Equity","SUPPLY_CHAIN_SUPPLIERS_FULL_DATA")</f>
        <v/>
      </c>
      <c r="NK5">
        <f>BDS("RAMP US Equity","SUPPLY_CHAIN_CUSTOMERS_FULL_DATA")</f>
        <v/>
      </c>
      <c r="OA5">
        <f>BDS("1916526D US Equity","SUPPLY_CHAIN_SUPPLIERS_FULL_DATA")</f>
        <v/>
      </c>
      <c r="OO5">
        <f>BDS("1916526D US Equity","SUPPLY_CHAIN_CUSTOMERS_FULL_DATA")</f>
        <v/>
      </c>
      <c r="PE5">
        <f>BDS("LEN US Equity","SUPPLY_CHAIN_SUPPLIERS_FULL_DATA")</f>
        <v/>
      </c>
      <c r="PS5">
        <f>BDS("LEN US Equity","SUPPLY_CHAIN_CUSTOMERS_FULL_DATA")</f>
        <v/>
      </c>
      <c r="QI5">
        <f>BDS("DLB US Equity","SUPPLY_CHAIN_SUPPLIERS_FULL_DATA")</f>
        <v/>
      </c>
      <c r="QW5">
        <f>BDS("DLB US Equity","SUPPLY_CHAIN_CUSTOMERS_FULL_DATA")</f>
        <v/>
      </c>
      <c r="RM5">
        <f>BDS("78651Q US Equity","SUPPLY_CHAIN_SUPPLIERS_FULL_DATA")</f>
        <v/>
      </c>
      <c r="SA5">
        <f>BDS("78651Q US Equity","SUPPLY_CHAIN_CUSTOMERS_FULL_DATA")</f>
        <v/>
      </c>
      <c r="SQ5">
        <f>BDS("1495787D US Equity","SUPPLY_CHAIN_SUPPLIERS_FULL_DATA")</f>
        <v/>
      </c>
      <c r="TE5">
        <f>BDS("1495787D US Equity","SUPPLY_CHAIN_CUSTOMERS_FULL_DATA")</f>
        <v/>
      </c>
      <c r="TU5">
        <f>BDS("RARE US Equity","SUPPLY_CHAIN_SUPPLIERS_FULL_DATA")</f>
        <v/>
      </c>
      <c r="UI5">
        <f>BDS("RARE US Equity","SUPPLY_CHAIN_CUSTOMERS_FULL_DATA")</f>
        <v/>
      </c>
      <c r="UY5">
        <f>BDS("SBLUQ US Equity","SUPPLY_CHAIN_SUPPLIERS_FULL_DATA")</f>
        <v/>
      </c>
      <c r="VM5">
        <f>BDS("SBLUQ US Equity","SUPPLY_CHAIN_CUSTOMERS_FULL_DATA")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3281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3282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3283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3284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3285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3286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3287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3288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3289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3290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3291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3292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3293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3294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3295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3296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3297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3298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3299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3300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MSFG US Equity</t>
        </is>
      </c>
      <c r="AE2" s="3" t="inlineStr">
        <is>
          <t>NPBC US Equity</t>
        </is>
      </c>
      <c r="BI2" s="3" t="inlineStr">
        <is>
          <t>SBMC US Equity</t>
        </is>
      </c>
      <c r="CM2" s="3" t="inlineStr">
        <is>
          <t>TTI US Equity</t>
        </is>
      </c>
      <c r="DQ2" s="3" t="inlineStr">
        <is>
          <t>PALM US Equity</t>
        </is>
      </c>
      <c r="EU2" s="3" t="inlineStr">
        <is>
          <t>RJETQ US Equity</t>
        </is>
      </c>
      <c r="FY2" s="3" t="inlineStr">
        <is>
          <t>FVB US Equity</t>
        </is>
      </c>
      <c r="HC2" s="3" t="inlineStr">
        <is>
          <t>SFSW US Equity</t>
        </is>
      </c>
      <c r="IG2" s="3" t="inlineStr">
        <is>
          <t>ITW US Equity</t>
        </is>
      </c>
      <c r="JK2" s="3" t="inlineStr">
        <is>
          <t>CIVB US Equity</t>
        </is>
      </c>
      <c r="KO2" s="3" t="inlineStr">
        <is>
          <t>EZPW US Equity</t>
        </is>
      </c>
      <c r="LS2" s="3" t="inlineStr">
        <is>
          <t>JNJ US Equity</t>
        </is>
      </c>
      <c r="MW2" s="3" t="inlineStr">
        <is>
          <t>AXP US Equity</t>
        </is>
      </c>
      <c r="OA2" s="3" t="inlineStr">
        <is>
          <t>WFC US Equity</t>
        </is>
      </c>
      <c r="PE2" s="3" t="inlineStr">
        <is>
          <t>PRGY US Equity</t>
        </is>
      </c>
      <c r="QI2" s="3" t="inlineStr">
        <is>
          <t>AZZ US Equity</t>
        </is>
      </c>
      <c r="RM2" s="3" t="inlineStr">
        <is>
          <t>ONB US Equity</t>
        </is>
      </c>
      <c r="SQ2" s="3" t="inlineStr">
        <is>
          <t>1837572D US Equity</t>
        </is>
      </c>
      <c r="TU2" s="3" t="inlineStr">
        <is>
          <t>EMUS US Equity</t>
        </is>
      </c>
      <c r="UY2" s="3" t="inlineStr">
        <is>
          <t>AXS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BDS("MSFG US Equity","SUPPLY_CHAIN_SUPPLIERS_FULL_DATA")</f>
        <v/>
      </c>
      <c r="O5">
        <f>BDS("MSFG US Equity","SUPPLY_CHAIN_CUSTOMERS_FULL_DATA")</f>
        <v/>
      </c>
      <c r="AE5">
        <f>BDS("NPBC US Equity","SUPPLY_CHAIN_SUPPLIERS_FULL_DATA")</f>
        <v/>
      </c>
      <c r="AS5">
        <f>BDS("NPBC US Equity","SUPPLY_CHAIN_CUSTOMERS_FULL_DATA")</f>
        <v/>
      </c>
      <c r="BI5">
        <f>BDS("SBMC US Equity","SUPPLY_CHAIN_SUPPLIERS_FULL_DATA")</f>
        <v/>
      </c>
      <c r="BW5">
        <f>BDS("SBMC US Equity","SUPPLY_CHAIN_CUSTOMERS_FULL_DATA")</f>
        <v/>
      </c>
      <c r="CM5">
        <f>BDS("TTI US Equity","SUPPLY_CHAIN_SUPPLIERS_FULL_DATA")</f>
        <v/>
      </c>
      <c r="DA5">
        <f>BDS("TTI US Equity","SUPPLY_CHAIN_CUSTOMERS_FULL_DATA")</f>
        <v/>
      </c>
      <c r="DQ5">
        <f>BDS("PALM US Equity","SUPPLY_CHAIN_SUPPLIERS_FULL_DATA")</f>
        <v/>
      </c>
      <c r="EE5">
        <f>BDS("PALM US Equity","SUPPLY_CHAIN_CUSTOMERS_FULL_DATA")</f>
        <v/>
      </c>
      <c r="EU5">
        <f>BDS("RJETQ US Equity","SUPPLY_CHAIN_SUPPLIERS_FULL_DATA")</f>
        <v/>
      </c>
      <c r="FI5">
        <f>BDS("RJETQ US Equity","SUPPLY_CHAIN_CUSTOMERS_FULL_DATA")</f>
        <v/>
      </c>
      <c r="FY5">
        <f>BDS("FVB US Equity","SUPPLY_CHAIN_SUPPLIERS_FULL_DATA")</f>
        <v/>
      </c>
      <c r="GM5">
        <f>BDS("FVB US Equity","SUPPLY_CHAIN_CUSTOMERS_FULL_DATA")</f>
        <v/>
      </c>
      <c r="HC5">
        <f>BDS("SFSW US Equity","SUPPLY_CHAIN_SUPPLIERS_FULL_DATA")</f>
        <v/>
      </c>
      <c r="HQ5">
        <f>BDS("SFSW US Equity","SUPPLY_CHAIN_CUSTOMERS_FULL_DATA")</f>
        <v/>
      </c>
      <c r="IG5">
        <f>BDS("ITW US Equity","SUPPLY_CHAIN_SUPPLIERS_FULL_DATA")</f>
        <v/>
      </c>
      <c r="IU5">
        <f>BDS("ITW US Equity","SUPPLY_CHAIN_CUSTOMERS_FULL_DATA")</f>
        <v/>
      </c>
      <c r="JK5">
        <f>BDS("CIVB US Equity","SUPPLY_CHAIN_SUPPLIERS_FULL_DATA")</f>
        <v/>
      </c>
      <c r="JY5">
        <f>BDS("CIVB US Equity","SUPPLY_CHAIN_CUSTOMERS_FULL_DATA")</f>
        <v/>
      </c>
      <c r="KO5">
        <f>BDS("EZPW US Equity","SUPPLY_CHAIN_SUPPLIERS_FULL_DATA")</f>
        <v/>
      </c>
      <c r="LC5">
        <f>BDS("EZPW US Equity","SUPPLY_CHAIN_CUSTOMERS_FULL_DATA")</f>
        <v/>
      </c>
      <c r="LS5">
        <f>BDS("JNJ US Equity","SUPPLY_CHAIN_SUPPLIERS_FULL_DATA")</f>
        <v/>
      </c>
      <c r="MG5">
        <f>BDS("JNJ US Equity","SUPPLY_CHAIN_CUSTOMERS_FULL_DATA")</f>
        <v/>
      </c>
      <c r="MW5">
        <f>BDS("AXP US Equity","SUPPLY_CHAIN_SUPPLIERS_FULL_DATA")</f>
        <v/>
      </c>
      <c r="NK5">
        <f>BDS("AXP US Equity","SUPPLY_CHAIN_CUSTOMERS_FULL_DATA")</f>
        <v/>
      </c>
      <c r="OA5">
        <f>BDS("WFC US Equity","SUPPLY_CHAIN_SUPPLIERS_FULL_DATA")</f>
        <v/>
      </c>
      <c r="OO5">
        <f>BDS("WFC US Equity","SUPPLY_CHAIN_CUSTOMERS_FULL_DATA")</f>
        <v/>
      </c>
      <c r="PE5">
        <f>BDS("PRGY US Equity","SUPPLY_CHAIN_SUPPLIERS_FULL_DATA")</f>
        <v/>
      </c>
      <c r="PS5">
        <f>BDS("PRGY US Equity","SUPPLY_CHAIN_CUSTOMERS_FULL_DATA")</f>
        <v/>
      </c>
      <c r="QI5">
        <f>BDS("AZZ US Equity","SUPPLY_CHAIN_SUPPLIERS_FULL_DATA")</f>
        <v/>
      </c>
      <c r="QW5">
        <f>BDS("AZZ US Equity","SUPPLY_CHAIN_CUSTOMERS_FULL_DATA")</f>
        <v/>
      </c>
      <c r="RM5">
        <f>BDS("ONB US Equity","SUPPLY_CHAIN_SUPPLIERS_FULL_DATA")</f>
        <v/>
      </c>
      <c r="SA5">
        <f>BDS("ONB US Equity","SUPPLY_CHAIN_CUSTOMERS_FULL_DATA")</f>
        <v/>
      </c>
      <c r="SQ5">
        <f>BDS("1837572D US Equity","SUPPLY_CHAIN_SUPPLIERS_FULL_DATA")</f>
        <v/>
      </c>
      <c r="TE5">
        <f>BDS("1837572D US Equity","SUPPLY_CHAIN_CUSTOMERS_FULL_DATA")</f>
        <v/>
      </c>
      <c r="TU5">
        <f>BDS("EMUS US Equity","SUPPLY_CHAIN_SUPPLIERS_FULL_DATA")</f>
        <v/>
      </c>
      <c r="UI5">
        <f>BDS("EMUS US Equity","SUPPLY_CHAIN_CUSTOMERS_FULL_DATA")</f>
        <v/>
      </c>
      <c r="UY5">
        <f>BDS("AXS US Equity","SUPPLY_CHAIN_SUPPLIERS_FULL_DATA")</f>
        <v/>
      </c>
      <c r="VM5">
        <f>BDS("AXS US Equity","SUPPLY_CHAIN_CUSTOMERS_FULL_DATA")</f>
        <v/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3301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3302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3303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3304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3305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3306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3307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3308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3309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3310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3311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3312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3313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3314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3315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3316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3317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3318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3319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3320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CFR US Equity</t>
        </is>
      </c>
      <c r="AE2" s="3" t="inlineStr">
        <is>
          <t>CBKN US Equity</t>
        </is>
      </c>
      <c r="BI2" s="3" t="inlineStr">
        <is>
          <t>PRIM US Equity</t>
        </is>
      </c>
      <c r="CM2" s="3" t="inlineStr">
        <is>
          <t>2348717Q US Equity</t>
        </is>
      </c>
      <c r="DQ2" s="3" t="inlineStr">
        <is>
          <t>UALAQ US Equity</t>
        </is>
      </c>
      <c r="EU2" s="3" t="inlineStr">
        <is>
          <t>NUAN US Equity</t>
        </is>
      </c>
      <c r="FY2" s="3" t="inlineStr">
        <is>
          <t>OMC US Equity</t>
        </is>
      </c>
      <c r="HC2" s="3" t="inlineStr">
        <is>
          <t>MMM US Equity</t>
        </is>
      </c>
      <c r="IG2" s="3" t="inlineStr">
        <is>
          <t>BBOX US Equity</t>
        </is>
      </c>
      <c r="JK2" s="3" t="inlineStr">
        <is>
          <t>9876544D US Equity</t>
        </is>
      </c>
      <c r="KO2" s="3" t="inlineStr">
        <is>
          <t>CUNO US Equity</t>
        </is>
      </c>
      <c r="LS2" s="3" t="inlineStr">
        <is>
          <t>PEBO US Equity</t>
        </is>
      </c>
      <c r="MW2" s="3" t="inlineStr">
        <is>
          <t>WEB US Equity</t>
        </is>
      </c>
      <c r="OA2" s="3" t="inlineStr">
        <is>
          <t>FCF US Equity</t>
        </is>
      </c>
      <c r="PE2" s="3" t="inlineStr">
        <is>
          <t>GZBX US Equity</t>
        </is>
      </c>
      <c r="QI2" s="3" t="inlineStr">
        <is>
          <t>DVINQ US Equity</t>
        </is>
      </c>
      <c r="RM2" s="3" t="inlineStr">
        <is>
          <t>KLXE US Equity</t>
        </is>
      </c>
      <c r="SQ2" s="3" t="inlineStr">
        <is>
          <t>VGR US Equity</t>
        </is>
      </c>
      <c r="TU2" s="3" t="inlineStr">
        <is>
          <t>MSCS US Equity</t>
        </is>
      </c>
      <c r="UY2" s="3" t="inlineStr">
        <is>
          <t>CBCGQ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BDS("CFR US Equity","SUPPLY_CHAIN_SUPPLIERS_FULL_DATA")</f>
        <v/>
      </c>
      <c r="O5">
        <f>BDS("CFR US Equity","SUPPLY_CHAIN_CUSTOMERS_FULL_DATA")</f>
        <v/>
      </c>
      <c r="AE5">
        <f>BDS("CBKN US Equity","SUPPLY_CHAIN_SUPPLIERS_FULL_DATA")</f>
        <v/>
      </c>
      <c r="AS5">
        <f>BDS("CBKN US Equity","SUPPLY_CHAIN_CUSTOMERS_FULL_DATA")</f>
        <v/>
      </c>
      <c r="BI5">
        <f>BDS("PRIM US Equity","SUPPLY_CHAIN_SUPPLIERS_FULL_DATA")</f>
        <v/>
      </c>
      <c r="BW5">
        <f>BDS("PRIM US Equity","SUPPLY_CHAIN_CUSTOMERS_FULL_DATA")</f>
        <v/>
      </c>
      <c r="CM5">
        <f>BDS("2348717Q US Equity","SUPPLY_CHAIN_SUPPLIERS_FULL_DATA")</f>
        <v/>
      </c>
      <c r="DA5">
        <f>BDS("2348717Q US Equity","SUPPLY_CHAIN_CUSTOMERS_FULL_DATA")</f>
        <v/>
      </c>
      <c r="DQ5">
        <f>BDS("UALAQ US Equity","SUPPLY_CHAIN_SUPPLIERS_FULL_DATA")</f>
        <v/>
      </c>
      <c r="EE5">
        <f>BDS("UALAQ US Equity","SUPPLY_CHAIN_CUSTOMERS_FULL_DATA")</f>
        <v/>
      </c>
      <c r="EU5">
        <f>BDS("NUAN US Equity","SUPPLY_CHAIN_SUPPLIERS_FULL_DATA")</f>
        <v/>
      </c>
      <c r="FI5">
        <f>BDS("NUAN US Equity","SUPPLY_CHAIN_CUSTOMERS_FULL_DATA")</f>
        <v/>
      </c>
      <c r="FY5">
        <f>BDS("OMC US Equity","SUPPLY_CHAIN_SUPPLIERS_FULL_DATA")</f>
        <v/>
      </c>
      <c r="GM5">
        <f>BDS("OMC US Equity","SUPPLY_CHAIN_CUSTOMERS_FULL_DATA")</f>
        <v/>
      </c>
      <c r="HC5">
        <f>BDS("MMM US Equity","SUPPLY_CHAIN_SUPPLIERS_FULL_DATA")</f>
        <v/>
      </c>
      <c r="HQ5">
        <f>BDS("MMM US Equity","SUPPLY_CHAIN_CUSTOMERS_FULL_DATA")</f>
        <v/>
      </c>
      <c r="IG5">
        <f>BDS("BBOX US Equity","SUPPLY_CHAIN_SUPPLIERS_FULL_DATA")</f>
        <v/>
      </c>
      <c r="IU5">
        <f>BDS("BBOX US Equity","SUPPLY_CHAIN_CUSTOMERS_FULL_DATA")</f>
        <v/>
      </c>
      <c r="JK5">
        <f>BDS("9876544D US Equity","SUPPLY_CHAIN_SUPPLIERS_FULL_DATA")</f>
        <v/>
      </c>
      <c r="JY5">
        <f>BDS("9876544D US Equity","SUPPLY_CHAIN_CUSTOMERS_FULL_DATA")</f>
        <v/>
      </c>
      <c r="KO5">
        <f>BDS("CUNO US Equity","SUPPLY_CHAIN_SUPPLIERS_FULL_DATA")</f>
        <v/>
      </c>
      <c r="LC5">
        <f>BDS("CUNO US Equity","SUPPLY_CHAIN_CUSTOMERS_FULL_DATA")</f>
        <v/>
      </c>
      <c r="LS5">
        <f>BDS("PEBO US Equity","SUPPLY_CHAIN_SUPPLIERS_FULL_DATA")</f>
        <v/>
      </c>
      <c r="MG5">
        <f>BDS("PEBO US Equity","SUPPLY_CHAIN_CUSTOMERS_FULL_DATA")</f>
        <v/>
      </c>
      <c r="MW5">
        <f>BDS("WEB US Equity","SUPPLY_CHAIN_SUPPLIERS_FULL_DATA")</f>
        <v/>
      </c>
      <c r="NK5">
        <f>BDS("WEB US Equity","SUPPLY_CHAIN_CUSTOMERS_FULL_DATA")</f>
        <v/>
      </c>
      <c r="OA5">
        <f>BDS("FCF US Equity","SUPPLY_CHAIN_SUPPLIERS_FULL_DATA")</f>
        <v/>
      </c>
      <c r="OO5">
        <f>BDS("FCF US Equity","SUPPLY_CHAIN_CUSTOMERS_FULL_DATA")</f>
        <v/>
      </c>
      <c r="PE5">
        <f>BDS("GZBX US Equity","SUPPLY_CHAIN_SUPPLIERS_FULL_DATA")</f>
        <v/>
      </c>
      <c r="PS5">
        <f>BDS("GZBX US Equity","SUPPLY_CHAIN_CUSTOMERS_FULL_DATA")</f>
        <v/>
      </c>
      <c r="QI5">
        <f>BDS("DVINQ US Equity","SUPPLY_CHAIN_SUPPLIERS_FULL_DATA")</f>
        <v/>
      </c>
      <c r="QW5">
        <f>BDS("DVINQ US Equity","SUPPLY_CHAIN_CUSTOMERS_FULL_DATA")</f>
        <v/>
      </c>
      <c r="RM5">
        <f>BDS("KLXE US Equity","SUPPLY_CHAIN_SUPPLIERS_FULL_DATA")</f>
        <v/>
      </c>
      <c r="SA5">
        <f>BDS("KLXE US Equity","SUPPLY_CHAIN_CUSTOMERS_FULL_DATA")</f>
        <v/>
      </c>
      <c r="SQ5">
        <f>BDS("VGR US Equity","SUPPLY_CHAIN_SUPPLIERS_FULL_DATA")</f>
        <v/>
      </c>
      <c r="TE5">
        <f>BDS("VGR US Equity","SUPPLY_CHAIN_CUSTOMERS_FULL_DATA")</f>
        <v/>
      </c>
      <c r="TU5">
        <f>BDS("MSCS US Equity","SUPPLY_CHAIN_SUPPLIERS_FULL_DATA")</f>
        <v/>
      </c>
      <c r="UI5">
        <f>BDS("MSCS US Equity","SUPPLY_CHAIN_CUSTOMERS_FULL_DATA")</f>
        <v/>
      </c>
      <c r="UY5">
        <f>BDS("CBCGQ US Equity","SUPPLY_CHAIN_SUPPLIERS_FULL_DATA")</f>
        <v/>
      </c>
      <c r="VM5">
        <f>BDS("CBCGQ US Equity","SUPPLY_CHAIN_CUSTOMERS_FULL_DATA")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3321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3322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3323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3324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3325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3326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3327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3328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3329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3330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3331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3332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3333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3334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3335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3336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3337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3338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3339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3340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MDT US Equity</t>
        </is>
      </c>
      <c r="AE2" s="3" t="inlineStr">
        <is>
          <t>VATE US Equity</t>
        </is>
      </c>
      <c r="BI2" s="3" t="inlineStr">
        <is>
          <t>1850874D US Equity</t>
        </is>
      </c>
      <c r="CM2" s="3" t="inlineStr">
        <is>
          <t>NCOM US Equity</t>
        </is>
      </c>
      <c r="DQ2" s="3" t="inlineStr">
        <is>
          <t>FNB US Equity</t>
        </is>
      </c>
      <c r="EU2" s="3" t="inlineStr">
        <is>
          <t>TRMK US Equity</t>
        </is>
      </c>
      <c r="FY2" s="3" t="inlineStr">
        <is>
          <t>nan Equity</t>
        </is>
      </c>
      <c r="HC2" s="3" t="inlineStr">
        <is>
          <t>753397Q US Equity</t>
        </is>
      </c>
      <c r="IG2" s="3" t="inlineStr">
        <is>
          <t>724273Q US Equity</t>
        </is>
      </c>
      <c r="JK2" s="3" t="inlineStr">
        <is>
          <t>nan Equity</t>
        </is>
      </c>
      <c r="KO2" s="3" t="inlineStr">
        <is>
          <t>CVG US Equity</t>
        </is>
      </c>
      <c r="LS2" s="3" t="inlineStr">
        <is>
          <t>SNPS US Equity</t>
        </is>
      </c>
      <c r="MW2" s="3" t="inlineStr">
        <is>
          <t>ICBC US Equity</t>
        </is>
      </c>
      <c r="OA2" s="3" t="inlineStr">
        <is>
          <t>CB US Equity</t>
        </is>
      </c>
      <c r="PE2" s="3" t="inlineStr">
        <is>
          <t>NUAN US Equity</t>
        </is>
      </c>
      <c r="QI2" s="3" t="inlineStr">
        <is>
          <t>3588Q US Equity</t>
        </is>
      </c>
      <c r="RM2" s="3" t="inlineStr">
        <is>
          <t>AVTA US Equity</t>
        </is>
      </c>
      <c r="SQ2" s="3" t="inlineStr">
        <is>
          <t>MYR US Equity</t>
        </is>
      </c>
      <c r="TU2" s="3" t="inlineStr">
        <is>
          <t>1894768D US Equity</t>
        </is>
      </c>
      <c r="UY2" s="3" t="inlineStr">
        <is>
          <t>MCF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BDS("MDT US Equity","SUPPLY_CHAIN_SUPPLIERS_FULL_DATA")</f>
        <v/>
      </c>
      <c r="O5">
        <f>BDS("MDT US Equity","SUPPLY_CHAIN_CUSTOMERS_FULL_DATA")</f>
        <v/>
      </c>
      <c r="AE5">
        <f>BDS("VATE US Equity","SUPPLY_CHAIN_SUPPLIERS_FULL_DATA")</f>
        <v/>
      </c>
      <c r="AS5">
        <f>BDS("VATE US Equity","SUPPLY_CHAIN_CUSTOMERS_FULL_DATA")</f>
        <v/>
      </c>
      <c r="BI5">
        <f>BDS("1850874D US Equity","SUPPLY_CHAIN_SUPPLIERS_FULL_DATA")</f>
        <v/>
      </c>
      <c r="BW5">
        <f>BDS("1850874D US Equity","SUPPLY_CHAIN_CUSTOMERS_FULL_DATA")</f>
        <v/>
      </c>
      <c r="CM5">
        <f>BDS("NCOM US Equity","SUPPLY_CHAIN_SUPPLIERS_FULL_DATA")</f>
        <v/>
      </c>
      <c r="DA5">
        <f>BDS("NCOM US Equity","SUPPLY_CHAIN_CUSTOMERS_FULL_DATA")</f>
        <v/>
      </c>
      <c r="DQ5">
        <f>BDS("FNB US Equity","SUPPLY_CHAIN_SUPPLIERS_FULL_DATA")</f>
        <v/>
      </c>
      <c r="EE5">
        <f>BDS("FNB US Equity","SUPPLY_CHAIN_CUSTOMERS_FULL_DATA")</f>
        <v/>
      </c>
      <c r="EU5">
        <f>BDS("TRMK US Equity","SUPPLY_CHAIN_SUPPLIERS_FULL_DATA")</f>
        <v/>
      </c>
      <c r="FI5">
        <f>BDS("TRMK US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BDS("753397Q US Equity","SUPPLY_CHAIN_SUPPLIERS_FULL_DATA")</f>
        <v/>
      </c>
      <c r="HQ5">
        <f>BDS("753397Q US Equity","SUPPLY_CHAIN_CUSTOMERS_FULL_DATA")</f>
        <v/>
      </c>
      <c r="IG5">
        <f>BDS("724273Q US Equity","SUPPLY_CHAIN_SUPPLIERS_FULL_DATA")</f>
        <v/>
      </c>
      <c r="IU5">
        <f>BDS("724273Q US Equity","SUPPLY_CHAIN_CUSTOMERS_FULL_DATA")</f>
        <v/>
      </c>
      <c r="JK5">
        <f>BDS("nan Equity","SUPPLY_CHAIN_SUPPLIERS_FULL_DATA")</f>
        <v/>
      </c>
      <c r="JY5">
        <f>BDS("nan Equity","SUPPLY_CHAIN_CUSTOMERS_FULL_DATA")</f>
        <v/>
      </c>
      <c r="KO5">
        <f>BDS("CVG US Equity","SUPPLY_CHAIN_SUPPLIERS_FULL_DATA")</f>
        <v/>
      </c>
      <c r="LC5">
        <f>BDS("CVG US Equity","SUPPLY_CHAIN_CUSTOMERS_FULL_DATA")</f>
        <v/>
      </c>
      <c r="LS5">
        <f>BDS("SNPS US Equity","SUPPLY_CHAIN_SUPPLIERS_FULL_DATA")</f>
        <v/>
      </c>
      <c r="MG5">
        <f>BDS("SNPS US Equity","SUPPLY_CHAIN_CUSTOMERS_FULL_DATA")</f>
        <v/>
      </c>
      <c r="MW5">
        <f>BDS("ICBC US Equity","SUPPLY_CHAIN_SUPPLIERS_FULL_DATA")</f>
        <v/>
      </c>
      <c r="NK5">
        <f>BDS("ICBC US Equity","SUPPLY_CHAIN_CUSTOMERS_FULL_DATA")</f>
        <v/>
      </c>
      <c r="OA5">
        <f>BDS("CB US Equity","SUPPLY_CHAIN_SUPPLIERS_FULL_DATA")</f>
        <v/>
      </c>
      <c r="OO5">
        <f>BDS("CB US Equity","SUPPLY_CHAIN_CUSTOMERS_FULL_DATA")</f>
        <v/>
      </c>
      <c r="PE5">
        <f>BDS("NUAN US Equity","SUPPLY_CHAIN_SUPPLIERS_FULL_DATA")</f>
        <v/>
      </c>
      <c r="PS5">
        <f>BDS("NUAN US Equity","SUPPLY_CHAIN_CUSTOMERS_FULL_DATA")</f>
        <v/>
      </c>
      <c r="QI5">
        <f>BDS("3588Q US Equity","SUPPLY_CHAIN_SUPPLIERS_FULL_DATA")</f>
        <v/>
      </c>
      <c r="QW5">
        <f>BDS("3588Q US Equity","SUPPLY_CHAIN_CUSTOMERS_FULL_DATA")</f>
        <v/>
      </c>
      <c r="RM5">
        <f>BDS("AVTA US Equity","SUPPLY_CHAIN_SUPPLIERS_FULL_DATA")</f>
        <v/>
      </c>
      <c r="SA5">
        <f>BDS("AVTA US Equity","SUPPLY_CHAIN_CUSTOMERS_FULL_DATA")</f>
        <v/>
      </c>
      <c r="SQ5">
        <f>BDS("MYR US Equity","SUPPLY_CHAIN_SUPPLIERS_FULL_DATA")</f>
        <v/>
      </c>
      <c r="TE5">
        <f>BDS("MYR US Equity","SUPPLY_CHAIN_CUSTOMERS_FULL_DATA")</f>
        <v/>
      </c>
      <c r="TU5">
        <f>BDS("1894768D US Equity","SUPPLY_CHAIN_SUPPLIERS_FULL_DATA")</f>
        <v/>
      </c>
      <c r="UI5">
        <f>BDS("1894768D US Equity","SUPPLY_CHAIN_CUSTOMERS_FULL_DATA")</f>
        <v/>
      </c>
      <c r="UY5">
        <f>BDS("MCF US Equity","SUPPLY_CHAIN_SUPPLIERS_FULL_DATA")</f>
        <v/>
      </c>
      <c r="VM5">
        <f>BDS("MCF US Equity","SUPPLY_CHAIN_CUSTOMERS_FULL_DATA")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3341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3342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3343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3344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3345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3346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3347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3348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3349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3350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3351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3352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3353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3354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3355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3356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3357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3358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3359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3360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INDB US Equity</t>
        </is>
      </c>
      <c r="AE2" s="3" t="inlineStr">
        <is>
          <t>VLY US Equity</t>
        </is>
      </c>
      <c r="BI2" s="3" t="inlineStr">
        <is>
          <t>OCFC US Equity</t>
        </is>
      </c>
      <c r="CM2" s="3" t="inlineStr">
        <is>
          <t>ACIW US Equity</t>
        </is>
      </c>
      <c r="DQ2" s="3" t="inlineStr">
        <is>
          <t>TSFG US Equity</t>
        </is>
      </c>
      <c r="EU2" s="3" t="inlineStr">
        <is>
          <t>LCRY US Equity</t>
        </is>
      </c>
      <c r="FY2" s="3" t="inlineStr">
        <is>
          <t>2447428D US Equity</t>
        </is>
      </c>
      <c r="HC2" s="3" t="inlineStr">
        <is>
          <t>OPCH US Equity</t>
        </is>
      </c>
      <c r="IG2" s="3" t="inlineStr">
        <is>
          <t>ANT US Equity</t>
        </is>
      </c>
      <c r="JK2" s="3" t="inlineStr">
        <is>
          <t>SLFI US Equity</t>
        </is>
      </c>
      <c r="KO2" s="3" t="inlineStr">
        <is>
          <t>IGL US Equity</t>
        </is>
      </c>
      <c r="LS2" s="3" t="inlineStr">
        <is>
          <t>IBM US Equity</t>
        </is>
      </c>
      <c r="MW2" s="3" t="inlineStr">
        <is>
          <t>539355Q US Equity</t>
        </is>
      </c>
      <c r="OA2" s="3" t="inlineStr">
        <is>
          <t>UBSI US Equity</t>
        </is>
      </c>
      <c r="PE2" s="3" t="inlineStr">
        <is>
          <t>HOV US Equity</t>
        </is>
      </c>
      <c r="QI2" s="3" t="inlineStr">
        <is>
          <t>CADE US Equity</t>
        </is>
      </c>
      <c r="RM2" s="3" t="inlineStr">
        <is>
          <t>JAMS US Equity</t>
        </is>
      </c>
      <c r="SQ2" s="3" t="inlineStr">
        <is>
          <t>ENMC US Equity</t>
        </is>
      </c>
      <c r="TU2" s="3" t="inlineStr">
        <is>
          <t>PEGA US Equity</t>
        </is>
      </c>
      <c r="UY2" s="3" t="inlineStr">
        <is>
          <t>CBU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BDS("INDB US Equity","SUPPLY_CHAIN_SUPPLIERS_FULL_DATA")</f>
        <v/>
      </c>
      <c r="O5">
        <f>BDS("INDB US Equity","SUPPLY_CHAIN_CUSTOMERS_FULL_DATA")</f>
        <v/>
      </c>
      <c r="AE5">
        <f>BDS("VLY US Equity","SUPPLY_CHAIN_SUPPLIERS_FULL_DATA")</f>
        <v/>
      </c>
      <c r="AS5">
        <f>BDS("VLY US Equity","SUPPLY_CHAIN_CUSTOMERS_FULL_DATA")</f>
        <v/>
      </c>
      <c r="BI5">
        <f>BDS("OCFC US Equity","SUPPLY_CHAIN_SUPPLIERS_FULL_DATA")</f>
        <v/>
      </c>
      <c r="BW5">
        <f>BDS("OCFC US Equity","SUPPLY_CHAIN_CUSTOMERS_FULL_DATA")</f>
        <v/>
      </c>
      <c r="CM5">
        <f>BDS("ACIW US Equity","SUPPLY_CHAIN_SUPPLIERS_FULL_DATA")</f>
        <v/>
      </c>
      <c r="DA5">
        <f>BDS("ACIW US Equity","SUPPLY_CHAIN_CUSTOMERS_FULL_DATA")</f>
        <v/>
      </c>
      <c r="DQ5">
        <f>BDS("TSFG US Equity","SUPPLY_CHAIN_SUPPLIERS_FULL_DATA")</f>
        <v/>
      </c>
      <c r="EE5">
        <f>BDS("TSFG US Equity","SUPPLY_CHAIN_CUSTOMERS_FULL_DATA")</f>
        <v/>
      </c>
      <c r="EU5">
        <f>BDS("LCRY US Equity","SUPPLY_CHAIN_SUPPLIERS_FULL_DATA")</f>
        <v/>
      </c>
      <c r="FI5">
        <f>BDS("LCRY US Equity","SUPPLY_CHAIN_CUSTOMERS_FULL_DATA")</f>
        <v/>
      </c>
      <c r="FY5">
        <f>BDS("2447428D US Equity","SUPPLY_CHAIN_SUPPLIERS_FULL_DATA")</f>
        <v/>
      </c>
      <c r="GM5">
        <f>BDS("2447428D US Equity","SUPPLY_CHAIN_CUSTOMERS_FULL_DATA")</f>
        <v/>
      </c>
      <c r="HC5">
        <f>BDS("OPCH US Equity","SUPPLY_CHAIN_SUPPLIERS_FULL_DATA")</f>
        <v/>
      </c>
      <c r="HQ5">
        <f>BDS("OPCH US Equity","SUPPLY_CHAIN_CUSTOMERS_FULL_DATA")</f>
        <v/>
      </c>
      <c r="IG5">
        <f>BDS("ANT US Equity","SUPPLY_CHAIN_SUPPLIERS_FULL_DATA")</f>
        <v/>
      </c>
      <c r="IU5">
        <f>BDS("ANT US Equity","SUPPLY_CHAIN_CUSTOMERS_FULL_DATA")</f>
        <v/>
      </c>
      <c r="JK5">
        <f>BDS("SLFI US Equity","SUPPLY_CHAIN_SUPPLIERS_FULL_DATA")</f>
        <v/>
      </c>
      <c r="JY5">
        <f>BDS("SLFI US Equity","SUPPLY_CHAIN_CUSTOMERS_FULL_DATA")</f>
        <v/>
      </c>
      <c r="KO5">
        <f>BDS("IGL US Equity","SUPPLY_CHAIN_SUPPLIERS_FULL_DATA")</f>
        <v/>
      </c>
      <c r="LC5">
        <f>BDS("IGL US Equity","SUPPLY_CHAIN_CUSTOMERS_FULL_DATA")</f>
        <v/>
      </c>
      <c r="LS5">
        <f>BDS("IBM US Equity","SUPPLY_CHAIN_SUPPLIERS_FULL_DATA")</f>
        <v/>
      </c>
      <c r="MG5">
        <f>BDS("IBM US Equity","SUPPLY_CHAIN_CUSTOMERS_FULL_DATA")</f>
        <v/>
      </c>
      <c r="MW5">
        <f>BDS("539355Q US Equity","SUPPLY_CHAIN_SUPPLIERS_FULL_DATA")</f>
        <v/>
      </c>
      <c r="NK5">
        <f>BDS("539355Q US Equity","SUPPLY_CHAIN_CUSTOMERS_FULL_DATA")</f>
        <v/>
      </c>
      <c r="OA5">
        <f>BDS("UBSI US Equity","SUPPLY_CHAIN_SUPPLIERS_FULL_DATA")</f>
        <v/>
      </c>
      <c r="OO5">
        <f>BDS("UBSI US Equity","SUPPLY_CHAIN_CUSTOMERS_FULL_DATA")</f>
        <v/>
      </c>
      <c r="PE5">
        <f>BDS("HOV US Equity","SUPPLY_CHAIN_SUPPLIERS_FULL_DATA")</f>
        <v/>
      </c>
      <c r="PS5">
        <f>BDS("HOV US Equity","SUPPLY_CHAIN_CUSTOMERS_FULL_DATA")</f>
        <v/>
      </c>
      <c r="QI5">
        <f>BDS("CADE US Equity","SUPPLY_CHAIN_SUPPLIERS_FULL_DATA")</f>
        <v/>
      </c>
      <c r="QW5">
        <f>BDS("CADE US Equity","SUPPLY_CHAIN_CUSTOMERS_FULL_DATA")</f>
        <v/>
      </c>
      <c r="RM5">
        <f>BDS("JAMS US Equity","SUPPLY_CHAIN_SUPPLIERS_FULL_DATA")</f>
        <v/>
      </c>
      <c r="SA5">
        <f>BDS("JAMS US Equity","SUPPLY_CHAIN_CUSTOMERS_FULL_DATA")</f>
        <v/>
      </c>
      <c r="SQ5">
        <f>BDS("ENMC US Equity","SUPPLY_CHAIN_SUPPLIERS_FULL_DATA")</f>
        <v/>
      </c>
      <c r="TE5">
        <f>BDS("ENMC US Equity","SUPPLY_CHAIN_CUSTOMERS_FULL_DATA")</f>
        <v/>
      </c>
      <c r="TU5">
        <f>BDS("PEGA US Equity","SUPPLY_CHAIN_SUPPLIERS_FULL_DATA")</f>
        <v/>
      </c>
      <c r="UI5">
        <f>BDS("PEGA US Equity","SUPPLY_CHAIN_CUSTOMERS_FULL_DATA")</f>
        <v/>
      </c>
      <c r="UY5">
        <f>BDS("CBU US Equity","SUPPLY_CHAIN_SUPPLIERS_FULL_DATA")</f>
        <v/>
      </c>
      <c r="VM5">
        <f>BDS("CBU US Equity","SUPPLY_CHAIN_CUSTOMERS_FULL_DATA")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3361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3362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3363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3364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3365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3366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3367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3368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3369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3370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3371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3372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3373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3374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3375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3376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3377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3378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3379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3380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RTHM LN Equity</t>
        </is>
      </c>
      <c r="AE2" s="3" t="inlineStr">
        <is>
          <t>FMAO US Equity</t>
        </is>
      </c>
      <c r="BI2" s="3" t="inlineStr">
        <is>
          <t>TFC US Equity</t>
        </is>
      </c>
      <c r="CM2" s="3" t="inlineStr">
        <is>
          <t>CPSS US Equity</t>
        </is>
      </c>
      <c r="DQ2" s="3" t="inlineStr">
        <is>
          <t>FMBI US Equity</t>
        </is>
      </c>
      <c r="EU2" s="3" t="inlineStr">
        <is>
          <t>TCBK US Equity</t>
        </is>
      </c>
      <c r="FY2" s="3" t="inlineStr">
        <is>
          <t>YDKN US Equity</t>
        </is>
      </c>
      <c r="HC2" s="3" t="inlineStr">
        <is>
          <t>FBNC US Equity</t>
        </is>
      </c>
      <c r="IG2" s="3" t="inlineStr">
        <is>
          <t>WIBC US Equity</t>
        </is>
      </c>
      <c r="JK2" s="3" t="inlineStr">
        <is>
          <t>VTEQ US Equity</t>
        </is>
      </c>
      <c r="KO2" s="3" t="inlineStr">
        <is>
          <t>OKWHQ US Equity</t>
        </is>
      </c>
      <c r="LS2" s="3" t="inlineStr">
        <is>
          <t>ITW US Equity</t>
        </is>
      </c>
      <c r="MW2" s="3" t="inlineStr">
        <is>
          <t>XBKS US Equity</t>
        </is>
      </c>
      <c r="OA2" s="3" t="inlineStr">
        <is>
          <t>UPBD US Equity</t>
        </is>
      </c>
      <c r="PE2" s="3" t="inlineStr">
        <is>
          <t>TFC US Equity</t>
        </is>
      </c>
      <c r="QI2" s="3" t="inlineStr">
        <is>
          <t>PRGNQ US Equity</t>
        </is>
      </c>
      <c r="RM2" s="3" t="inlineStr">
        <is>
          <t>AZA US Equity</t>
        </is>
      </c>
      <c r="SQ2" s="3" t="inlineStr">
        <is>
          <t>TFC US Equity</t>
        </is>
      </c>
      <c r="TU2" s="3" t="inlineStr">
        <is>
          <t>TWX US Equity</t>
        </is>
      </c>
      <c r="UY2" s="3" t="inlineStr">
        <is>
          <t>RMK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BDS("RTHM LN Equity","SUPPLY_CHAIN_SUPPLIERS_FULL_DATA")</f>
        <v/>
      </c>
      <c r="O5">
        <f>BDS("RTHM LN Equity","SUPPLY_CHAIN_CUSTOMERS_FULL_DATA")</f>
        <v/>
      </c>
      <c r="AE5">
        <f>BDS("FMAO US Equity","SUPPLY_CHAIN_SUPPLIERS_FULL_DATA")</f>
        <v/>
      </c>
      <c r="AS5">
        <f>BDS("FMAO US Equity","SUPPLY_CHAIN_CUSTOMERS_FULL_DATA")</f>
        <v/>
      </c>
      <c r="BI5">
        <f>BDS("TFC US Equity","SUPPLY_CHAIN_SUPPLIERS_FULL_DATA")</f>
        <v/>
      </c>
      <c r="BW5">
        <f>BDS("TFC US Equity","SUPPLY_CHAIN_CUSTOMERS_FULL_DATA")</f>
        <v/>
      </c>
      <c r="CM5">
        <f>BDS("CPSS US Equity","SUPPLY_CHAIN_SUPPLIERS_FULL_DATA")</f>
        <v/>
      </c>
      <c r="DA5">
        <f>BDS("CPSS US Equity","SUPPLY_CHAIN_CUSTOMERS_FULL_DATA")</f>
        <v/>
      </c>
      <c r="DQ5">
        <f>BDS("FMBI US Equity","SUPPLY_CHAIN_SUPPLIERS_FULL_DATA")</f>
        <v/>
      </c>
      <c r="EE5">
        <f>BDS("FMBI US Equity","SUPPLY_CHAIN_CUSTOMERS_FULL_DATA")</f>
        <v/>
      </c>
      <c r="EU5">
        <f>BDS("TCBK US Equity","SUPPLY_CHAIN_SUPPLIERS_FULL_DATA")</f>
        <v/>
      </c>
      <c r="FI5">
        <f>BDS("TCBK US Equity","SUPPLY_CHAIN_CUSTOMERS_FULL_DATA")</f>
        <v/>
      </c>
      <c r="FY5">
        <f>BDS("YDKN US Equity","SUPPLY_CHAIN_SUPPLIERS_FULL_DATA")</f>
        <v/>
      </c>
      <c r="GM5">
        <f>BDS("YDKN US Equity","SUPPLY_CHAIN_CUSTOMERS_FULL_DATA")</f>
        <v/>
      </c>
      <c r="HC5">
        <f>BDS("FBNC US Equity","SUPPLY_CHAIN_SUPPLIERS_FULL_DATA")</f>
        <v/>
      </c>
      <c r="HQ5">
        <f>BDS("FBNC US Equity","SUPPLY_CHAIN_CUSTOMERS_FULL_DATA")</f>
        <v/>
      </c>
      <c r="IG5">
        <f>BDS("WIBC US Equity","SUPPLY_CHAIN_SUPPLIERS_FULL_DATA")</f>
        <v/>
      </c>
      <c r="IU5">
        <f>BDS("WIBC US Equity","SUPPLY_CHAIN_CUSTOMERS_FULL_DATA")</f>
        <v/>
      </c>
      <c r="JK5">
        <f>BDS("VTEQ US Equity","SUPPLY_CHAIN_SUPPLIERS_FULL_DATA")</f>
        <v/>
      </c>
      <c r="JY5">
        <f>BDS("VTEQ US Equity","SUPPLY_CHAIN_CUSTOMERS_FULL_DATA")</f>
        <v/>
      </c>
      <c r="KO5">
        <f>BDS("OKWHQ US Equity","SUPPLY_CHAIN_SUPPLIERS_FULL_DATA")</f>
        <v/>
      </c>
      <c r="LC5">
        <f>BDS("OKWHQ US Equity","SUPPLY_CHAIN_CUSTOMERS_FULL_DATA")</f>
        <v/>
      </c>
      <c r="LS5">
        <f>BDS("ITW US Equity","SUPPLY_CHAIN_SUPPLIERS_FULL_DATA")</f>
        <v/>
      </c>
      <c r="MG5">
        <f>BDS("ITW US Equity","SUPPLY_CHAIN_CUSTOMERS_FULL_DATA")</f>
        <v/>
      </c>
      <c r="MW5">
        <f>BDS("XBKS US Equity","SUPPLY_CHAIN_SUPPLIERS_FULL_DATA")</f>
        <v/>
      </c>
      <c r="NK5">
        <f>BDS("XBKS US Equity","SUPPLY_CHAIN_CUSTOMERS_FULL_DATA")</f>
        <v/>
      </c>
      <c r="OA5">
        <f>BDS("UPBD US Equity","SUPPLY_CHAIN_SUPPLIERS_FULL_DATA")</f>
        <v/>
      </c>
      <c r="OO5">
        <f>BDS("UPBD US Equity","SUPPLY_CHAIN_CUSTOMERS_FULL_DATA")</f>
        <v/>
      </c>
      <c r="PE5">
        <f>BDS("TFC US Equity","SUPPLY_CHAIN_SUPPLIERS_FULL_DATA")</f>
        <v/>
      </c>
      <c r="PS5">
        <f>BDS("TFC US Equity","SUPPLY_CHAIN_CUSTOMERS_FULL_DATA")</f>
        <v/>
      </c>
      <c r="QI5">
        <f>BDS("PRGNQ US Equity","SUPPLY_CHAIN_SUPPLIERS_FULL_DATA")</f>
        <v/>
      </c>
      <c r="QW5">
        <f>BDS("PRGNQ US Equity","SUPPLY_CHAIN_CUSTOMERS_FULL_DATA")</f>
        <v/>
      </c>
      <c r="RM5">
        <f>BDS("AZA US Equity","SUPPLY_CHAIN_SUPPLIERS_FULL_DATA")</f>
        <v/>
      </c>
      <c r="SA5">
        <f>BDS("AZA US Equity","SUPPLY_CHAIN_CUSTOMERS_FULL_DATA")</f>
        <v/>
      </c>
      <c r="SQ5">
        <f>BDS("TFC US Equity","SUPPLY_CHAIN_SUPPLIERS_FULL_DATA")</f>
        <v/>
      </c>
      <c r="TE5">
        <f>BDS("TFC US Equity","SUPPLY_CHAIN_CUSTOMERS_FULL_DATA")</f>
        <v/>
      </c>
      <c r="TU5">
        <f>BDS("TWX US Equity","SUPPLY_CHAIN_SUPPLIERS_FULL_DATA")</f>
        <v/>
      </c>
      <c r="UI5">
        <f>BDS("TWX US Equity","SUPPLY_CHAIN_CUSTOMERS_FULL_DATA")</f>
        <v/>
      </c>
      <c r="UY5">
        <f>BDS("RMK US Equity","SUPPLY_CHAIN_SUPPLIERS_FULL_DATA")</f>
        <v/>
      </c>
      <c r="VM5">
        <f>BDS("RMK US Equity","SUPPLY_CHAIN_CUSTOMERS_FULL_DATA")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3381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3382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3383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3384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3385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3386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3387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3388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3389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3390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3391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3392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3393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3394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3395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3396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3397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3398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3399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3400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EGP US Equity</t>
        </is>
      </c>
      <c r="AE2" s="3" t="inlineStr">
        <is>
          <t>EMN US Equity</t>
        </is>
      </c>
      <c r="BI2" s="3" t="inlineStr">
        <is>
          <t>LBAI US Equity</t>
        </is>
      </c>
      <c r="CM2" s="3" t="inlineStr">
        <is>
          <t>GZBX US Equity</t>
        </is>
      </c>
      <c r="DQ2" s="3" t="inlineStr">
        <is>
          <t>GLDB US Equity</t>
        </is>
      </c>
      <c r="EU2" s="3" t="inlineStr">
        <is>
          <t>FLS US Equity</t>
        </is>
      </c>
      <c r="FY2" s="3" t="inlineStr">
        <is>
          <t>EXE US Equity</t>
        </is>
      </c>
      <c r="HC2" s="3" t="inlineStr">
        <is>
          <t>DRS US Equity</t>
        </is>
      </c>
      <c r="IG2" s="3" t="inlineStr">
        <is>
          <t>ACIW US Equity</t>
        </is>
      </c>
      <c r="JK2" s="3" t="inlineStr">
        <is>
          <t>OPLK US Equity</t>
        </is>
      </c>
      <c r="KO2" s="3" t="inlineStr">
        <is>
          <t>1837572D US Equity</t>
        </is>
      </c>
      <c r="LS2" s="3" t="inlineStr">
        <is>
          <t>GBCI US Equity</t>
        </is>
      </c>
      <c r="MW2" s="3" t="inlineStr">
        <is>
          <t>HRBT US Equity</t>
        </is>
      </c>
      <c r="OA2" s="3" t="inlineStr">
        <is>
          <t>XBKS US Equity</t>
        </is>
      </c>
      <c r="PE2" s="3" t="inlineStr">
        <is>
          <t>USB US Equity</t>
        </is>
      </c>
      <c r="QI2" s="3" t="inlineStr">
        <is>
          <t>CARO US Equity</t>
        </is>
      </c>
      <c r="RM2" s="3" t="inlineStr">
        <is>
          <t>TPTH US Equity</t>
        </is>
      </c>
      <c r="SQ2" s="3" t="inlineStr">
        <is>
          <t>ACCL US Equity</t>
        </is>
      </c>
      <c r="TU2" s="3" t="inlineStr">
        <is>
          <t>1642488D US Equity</t>
        </is>
      </c>
      <c r="UY2" s="3" t="inlineStr">
        <is>
          <t>NBTB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BDS("EGP US Equity","SUPPLY_CHAIN_SUPPLIERS_FULL_DATA")</f>
        <v/>
      </c>
      <c r="O5">
        <f>BDS("EGP US Equity","SUPPLY_CHAIN_CUSTOMERS_FULL_DATA")</f>
        <v/>
      </c>
      <c r="AE5">
        <f>BDS("EMN US Equity","SUPPLY_CHAIN_SUPPLIERS_FULL_DATA")</f>
        <v/>
      </c>
      <c r="AS5">
        <f>BDS("EMN US Equity","SUPPLY_CHAIN_CUSTOMERS_FULL_DATA")</f>
        <v/>
      </c>
      <c r="BI5">
        <f>BDS("LBAI US Equity","SUPPLY_CHAIN_SUPPLIERS_FULL_DATA")</f>
        <v/>
      </c>
      <c r="BW5">
        <f>BDS("LBAI US Equity","SUPPLY_CHAIN_CUSTOMERS_FULL_DATA")</f>
        <v/>
      </c>
      <c r="CM5">
        <f>BDS("GZBX US Equity","SUPPLY_CHAIN_SUPPLIERS_FULL_DATA")</f>
        <v/>
      </c>
      <c r="DA5">
        <f>BDS("GZBX US Equity","SUPPLY_CHAIN_CUSTOMERS_FULL_DATA")</f>
        <v/>
      </c>
      <c r="DQ5">
        <f>BDS("GLDB US Equity","SUPPLY_CHAIN_SUPPLIERS_FULL_DATA")</f>
        <v/>
      </c>
      <c r="EE5">
        <f>BDS("GLDB US Equity","SUPPLY_CHAIN_CUSTOMERS_FULL_DATA")</f>
        <v/>
      </c>
      <c r="EU5">
        <f>BDS("FLS US Equity","SUPPLY_CHAIN_SUPPLIERS_FULL_DATA")</f>
        <v/>
      </c>
      <c r="FI5">
        <f>BDS("FLS US Equity","SUPPLY_CHAIN_CUSTOMERS_FULL_DATA")</f>
        <v/>
      </c>
      <c r="FY5">
        <f>BDS("EXE US Equity","SUPPLY_CHAIN_SUPPLIERS_FULL_DATA")</f>
        <v/>
      </c>
      <c r="GM5">
        <f>BDS("EXE US Equity","SUPPLY_CHAIN_CUSTOMERS_FULL_DATA")</f>
        <v/>
      </c>
      <c r="HC5">
        <f>BDS("DRS US Equity","SUPPLY_CHAIN_SUPPLIERS_FULL_DATA")</f>
        <v/>
      </c>
      <c r="HQ5">
        <f>BDS("DRS US Equity","SUPPLY_CHAIN_CUSTOMERS_FULL_DATA")</f>
        <v/>
      </c>
      <c r="IG5">
        <f>BDS("ACIW US Equity","SUPPLY_CHAIN_SUPPLIERS_FULL_DATA")</f>
        <v/>
      </c>
      <c r="IU5">
        <f>BDS("ACIW US Equity","SUPPLY_CHAIN_CUSTOMERS_FULL_DATA")</f>
        <v/>
      </c>
      <c r="JK5">
        <f>BDS("OPLK US Equity","SUPPLY_CHAIN_SUPPLIERS_FULL_DATA")</f>
        <v/>
      </c>
      <c r="JY5">
        <f>BDS("OPLK US Equity","SUPPLY_CHAIN_CUSTOMERS_FULL_DATA")</f>
        <v/>
      </c>
      <c r="KO5">
        <f>BDS("1837572D US Equity","SUPPLY_CHAIN_SUPPLIERS_FULL_DATA")</f>
        <v/>
      </c>
      <c r="LC5">
        <f>BDS("1837572D US Equity","SUPPLY_CHAIN_CUSTOMERS_FULL_DATA")</f>
        <v/>
      </c>
      <c r="LS5">
        <f>BDS("GBCI US Equity","SUPPLY_CHAIN_SUPPLIERS_FULL_DATA")</f>
        <v/>
      </c>
      <c r="MG5">
        <f>BDS("GBCI US Equity","SUPPLY_CHAIN_CUSTOMERS_FULL_DATA")</f>
        <v/>
      </c>
      <c r="MW5">
        <f>BDS("HRBT US Equity","SUPPLY_CHAIN_SUPPLIERS_FULL_DATA")</f>
        <v/>
      </c>
      <c r="NK5">
        <f>BDS("HRBT US Equity","SUPPLY_CHAIN_CUSTOMERS_FULL_DATA")</f>
        <v/>
      </c>
      <c r="OA5">
        <f>BDS("XBKS US Equity","SUPPLY_CHAIN_SUPPLIERS_FULL_DATA")</f>
        <v/>
      </c>
      <c r="OO5">
        <f>BDS("XBKS US Equity","SUPPLY_CHAIN_CUSTOMERS_FULL_DATA")</f>
        <v/>
      </c>
      <c r="PE5">
        <f>BDS("USB US Equity","SUPPLY_CHAIN_SUPPLIERS_FULL_DATA")</f>
        <v/>
      </c>
      <c r="PS5">
        <f>BDS("USB US Equity","SUPPLY_CHAIN_CUSTOMERS_FULL_DATA")</f>
        <v/>
      </c>
      <c r="QI5">
        <f>BDS("CARO US Equity","SUPPLY_CHAIN_SUPPLIERS_FULL_DATA")</f>
        <v/>
      </c>
      <c r="QW5">
        <f>BDS("CARO US Equity","SUPPLY_CHAIN_CUSTOMERS_FULL_DATA")</f>
        <v/>
      </c>
      <c r="RM5">
        <f>BDS("TPTH US Equity","SUPPLY_CHAIN_SUPPLIERS_FULL_DATA")</f>
        <v/>
      </c>
      <c r="SA5">
        <f>BDS("TPTH US Equity","SUPPLY_CHAIN_CUSTOMERS_FULL_DATA")</f>
        <v/>
      </c>
      <c r="SQ5">
        <f>BDS("ACCL US Equity","SUPPLY_CHAIN_SUPPLIERS_FULL_DATA")</f>
        <v/>
      </c>
      <c r="TE5">
        <f>BDS("ACCL US Equity","SUPPLY_CHAIN_CUSTOMERS_FULL_DATA")</f>
        <v/>
      </c>
      <c r="TU5">
        <f>BDS("1642488D US Equity","SUPPLY_CHAIN_SUPPLIERS_FULL_DATA")</f>
        <v/>
      </c>
      <c r="UI5">
        <f>BDS("1642488D US Equity","SUPPLY_CHAIN_CUSTOMERS_FULL_DATA")</f>
        <v/>
      </c>
      <c r="UY5">
        <f>BDS("NBTB US Equity","SUPPLY_CHAIN_SUPPLIERS_FULL_DATA")</f>
        <v/>
      </c>
      <c r="VM5">
        <f>BDS("NBTB US Equity","SUPPLY_CHAIN_CUSTOMERS_FULL_DATA")</f>
        <v/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3401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3402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3403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3404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3405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3406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3407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3408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3409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3410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3411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3412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3413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3414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3415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3416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3417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3418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3419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3420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AMNB US Equity</t>
        </is>
      </c>
      <c r="AE2" s="3" t="inlineStr">
        <is>
          <t>MSCC US Equity</t>
        </is>
      </c>
      <c r="BI2" s="3" t="inlineStr">
        <is>
          <t>GME US Equity</t>
        </is>
      </c>
      <c r="CM2" s="3" t="inlineStr">
        <is>
          <t>0544801D US Equity</t>
        </is>
      </c>
      <c r="DQ2" s="3" t="inlineStr">
        <is>
          <t>2119228Q US Equity</t>
        </is>
      </c>
      <c r="EU2" s="3" t="inlineStr">
        <is>
          <t>1436225D US Equity</t>
        </is>
      </c>
      <c r="FY2" s="3" t="inlineStr">
        <is>
          <t>FMNB US Equity</t>
        </is>
      </c>
      <c r="HC2" s="3" t="inlineStr">
        <is>
          <t>HLYW US Equity</t>
        </is>
      </c>
      <c r="IG2" s="3" t="inlineStr">
        <is>
          <t>HBNC US Equity</t>
        </is>
      </c>
      <c r="JK2" s="3" t="inlineStr">
        <is>
          <t>538087Q US Equity</t>
        </is>
      </c>
      <c r="KO2" s="3" t="inlineStr">
        <is>
          <t>MSI US Equity</t>
        </is>
      </c>
      <c r="LS2" s="3" t="inlineStr">
        <is>
          <t>NCOG US Equity</t>
        </is>
      </c>
      <c r="MW2" s="3" t="inlineStr">
        <is>
          <t>HPQ US Equity</t>
        </is>
      </c>
      <c r="OA2" s="3" t="inlineStr">
        <is>
          <t>JAS US Equity</t>
        </is>
      </c>
      <c r="PE2" s="3" t="inlineStr">
        <is>
          <t>TRN US Equity</t>
        </is>
      </c>
      <c r="QI2" s="3" t="inlineStr">
        <is>
          <t>MAFB US Equity</t>
        </is>
      </c>
      <c r="RM2" s="3" t="inlineStr">
        <is>
          <t>HC US Equity</t>
        </is>
      </c>
      <c r="SQ2" s="3" t="inlineStr">
        <is>
          <t>PBCT US Equity</t>
        </is>
      </c>
      <c r="TU2" s="3" t="inlineStr">
        <is>
          <t>FFIC US Equity</t>
        </is>
      </c>
      <c r="UY2" s="3" t="inlineStr">
        <is>
          <t>WAFD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BDS("AMNB US Equity","SUPPLY_CHAIN_SUPPLIERS_FULL_DATA")</f>
        <v/>
      </c>
      <c r="O5">
        <f>BDS("AMNB US Equity","SUPPLY_CHAIN_CUSTOMERS_FULL_DATA")</f>
        <v/>
      </c>
      <c r="AE5">
        <f>BDS("MSCC US Equity","SUPPLY_CHAIN_SUPPLIERS_FULL_DATA")</f>
        <v/>
      </c>
      <c r="AS5">
        <f>BDS("MSCC US Equity","SUPPLY_CHAIN_CUSTOMERS_FULL_DATA")</f>
        <v/>
      </c>
      <c r="BI5">
        <f>BDS("GME US Equity","SUPPLY_CHAIN_SUPPLIERS_FULL_DATA")</f>
        <v/>
      </c>
      <c r="BW5">
        <f>BDS("GME US Equity","SUPPLY_CHAIN_CUSTOMERS_FULL_DATA")</f>
        <v/>
      </c>
      <c r="CM5">
        <f>BDS("0544801D US Equity","SUPPLY_CHAIN_SUPPLIERS_FULL_DATA")</f>
        <v/>
      </c>
      <c r="DA5">
        <f>BDS("0544801D US Equity","SUPPLY_CHAIN_CUSTOMERS_FULL_DATA")</f>
        <v/>
      </c>
      <c r="DQ5">
        <f>BDS("2119228Q US Equity","SUPPLY_CHAIN_SUPPLIERS_FULL_DATA")</f>
        <v/>
      </c>
      <c r="EE5">
        <f>BDS("2119228Q US Equity","SUPPLY_CHAIN_CUSTOMERS_FULL_DATA")</f>
        <v/>
      </c>
      <c r="EU5">
        <f>BDS("1436225D US Equity","SUPPLY_CHAIN_SUPPLIERS_FULL_DATA")</f>
        <v/>
      </c>
      <c r="FI5">
        <f>BDS("1436225D US Equity","SUPPLY_CHAIN_CUSTOMERS_FULL_DATA")</f>
        <v/>
      </c>
      <c r="FY5">
        <f>BDS("FMNB US Equity","SUPPLY_CHAIN_SUPPLIERS_FULL_DATA")</f>
        <v/>
      </c>
      <c r="GM5">
        <f>BDS("FMNB US Equity","SUPPLY_CHAIN_CUSTOMERS_FULL_DATA")</f>
        <v/>
      </c>
      <c r="HC5">
        <f>BDS("HLYW US Equity","SUPPLY_CHAIN_SUPPLIERS_FULL_DATA")</f>
        <v/>
      </c>
      <c r="HQ5">
        <f>BDS("HLYW US Equity","SUPPLY_CHAIN_CUSTOMERS_FULL_DATA")</f>
        <v/>
      </c>
      <c r="IG5">
        <f>BDS("HBNC US Equity","SUPPLY_CHAIN_SUPPLIERS_FULL_DATA")</f>
        <v/>
      </c>
      <c r="IU5">
        <f>BDS("HBNC US Equity","SUPPLY_CHAIN_CUSTOMERS_FULL_DATA")</f>
        <v/>
      </c>
      <c r="JK5">
        <f>BDS("538087Q US Equity","SUPPLY_CHAIN_SUPPLIERS_FULL_DATA")</f>
        <v/>
      </c>
      <c r="JY5">
        <f>BDS("538087Q US Equity","SUPPLY_CHAIN_CUSTOMERS_FULL_DATA")</f>
        <v/>
      </c>
      <c r="KO5">
        <f>BDS("MSI US Equity","SUPPLY_CHAIN_SUPPLIERS_FULL_DATA")</f>
        <v/>
      </c>
      <c r="LC5">
        <f>BDS("MSI US Equity","SUPPLY_CHAIN_CUSTOMERS_FULL_DATA")</f>
        <v/>
      </c>
      <c r="LS5">
        <f>BDS("NCOG US Equity","SUPPLY_CHAIN_SUPPLIERS_FULL_DATA")</f>
        <v/>
      </c>
      <c r="MG5">
        <f>BDS("NCOG US Equity","SUPPLY_CHAIN_CUSTOMERS_FULL_DATA")</f>
        <v/>
      </c>
      <c r="MW5">
        <f>BDS("HPQ US Equity","SUPPLY_CHAIN_SUPPLIERS_FULL_DATA")</f>
        <v/>
      </c>
      <c r="NK5">
        <f>BDS("HPQ US Equity","SUPPLY_CHAIN_CUSTOMERS_FULL_DATA")</f>
        <v/>
      </c>
      <c r="OA5">
        <f>BDS("JAS US Equity","SUPPLY_CHAIN_SUPPLIERS_FULL_DATA")</f>
        <v/>
      </c>
      <c r="OO5">
        <f>BDS("JAS US Equity","SUPPLY_CHAIN_CUSTOMERS_FULL_DATA")</f>
        <v/>
      </c>
      <c r="PE5">
        <f>BDS("TRN US Equity","SUPPLY_CHAIN_SUPPLIERS_FULL_DATA")</f>
        <v/>
      </c>
      <c r="PS5">
        <f>BDS("TRN US Equity","SUPPLY_CHAIN_CUSTOMERS_FULL_DATA")</f>
        <v/>
      </c>
      <c r="QI5">
        <f>BDS("MAFB US Equity","SUPPLY_CHAIN_SUPPLIERS_FULL_DATA")</f>
        <v/>
      </c>
      <c r="QW5">
        <f>BDS("MAFB US Equity","SUPPLY_CHAIN_CUSTOMERS_FULL_DATA")</f>
        <v/>
      </c>
      <c r="RM5">
        <f>BDS("HC US Equity","SUPPLY_CHAIN_SUPPLIERS_FULL_DATA")</f>
        <v/>
      </c>
      <c r="SA5">
        <f>BDS("HC US Equity","SUPPLY_CHAIN_CUSTOMERS_FULL_DATA")</f>
        <v/>
      </c>
      <c r="SQ5">
        <f>BDS("PBCT US Equity","SUPPLY_CHAIN_SUPPLIERS_FULL_DATA")</f>
        <v/>
      </c>
      <c r="TE5">
        <f>BDS("PBCT US Equity","SUPPLY_CHAIN_CUSTOMERS_FULL_DATA")</f>
        <v/>
      </c>
      <c r="TU5">
        <f>BDS("FFIC US Equity","SUPPLY_CHAIN_SUPPLIERS_FULL_DATA")</f>
        <v/>
      </c>
      <c r="UI5">
        <f>BDS("FFIC US Equity","SUPPLY_CHAIN_CUSTOMERS_FULL_DATA")</f>
        <v/>
      </c>
      <c r="UY5">
        <f>BDS("WAFD US Equity","SUPPLY_CHAIN_SUPPLIERS_FULL_DATA")</f>
        <v/>
      </c>
      <c r="VM5">
        <f>BDS("WAFD US Equity","SUPPLY_CHAIN_CUSTOMERS_FULL_DATA")</f>
        <v/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3421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3422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3423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3424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3425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3426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3427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3428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3429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3430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3431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3432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3433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3434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3435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3436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3437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3438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3439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3440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SUPR US Equity</t>
        </is>
      </c>
      <c r="AE2" s="3" t="inlineStr">
        <is>
          <t>662053Q US Equity</t>
        </is>
      </c>
      <c r="BI2" s="3" t="inlineStr">
        <is>
          <t>UB US Equity</t>
        </is>
      </c>
      <c r="CM2" s="3" t="inlineStr">
        <is>
          <t>HBAN US Equity</t>
        </is>
      </c>
      <c r="DQ2" s="3" t="inlineStr">
        <is>
          <t>UBSI US Equity</t>
        </is>
      </c>
      <c r="EU2" s="3" t="inlineStr">
        <is>
          <t>1023761D US Equity</t>
        </is>
      </c>
      <c r="FY2" s="3" t="inlineStr">
        <is>
          <t>GBCI US Equity</t>
        </is>
      </c>
      <c r="HC2" s="3" t="inlineStr">
        <is>
          <t>IBOC US Equity</t>
        </is>
      </c>
      <c r="IG2" s="3" t="inlineStr">
        <is>
          <t>BRK/A US Equity</t>
        </is>
      </c>
      <c r="JK2" s="3" t="inlineStr">
        <is>
          <t>838969Q US Equity</t>
        </is>
      </c>
      <c r="KO2" s="3" t="inlineStr">
        <is>
          <t>FNB US Equity</t>
        </is>
      </c>
      <c r="LS2" s="3" t="inlineStr">
        <is>
          <t>2860436Q US Equity</t>
        </is>
      </c>
      <c r="MW2" s="3" t="inlineStr">
        <is>
          <t>8277831Q US Equity</t>
        </is>
      </c>
      <c r="OA2" s="3" t="inlineStr">
        <is>
          <t>SPLP US Equity</t>
        </is>
      </c>
      <c r="PE2" s="3" t="inlineStr">
        <is>
          <t>1822785D US Equity</t>
        </is>
      </c>
      <c r="QI2" s="3" t="inlineStr">
        <is>
          <t>BNCN US Equity</t>
        </is>
      </c>
      <c r="RM2" s="3" t="inlineStr">
        <is>
          <t>ALAB US Equity</t>
        </is>
      </c>
      <c r="SQ2" s="3" t="inlineStr">
        <is>
          <t>MLI US Equity</t>
        </is>
      </c>
      <c r="TU2" s="3" t="inlineStr">
        <is>
          <t>KWD US Equity</t>
        </is>
      </c>
      <c r="UY2" s="3" t="inlineStr">
        <is>
          <t>ITGR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BDS("SUPR US Equity","SUPPLY_CHAIN_SUPPLIERS_FULL_DATA")</f>
        <v/>
      </c>
      <c r="O5">
        <f>BDS("SUPR US Equity","SUPPLY_CHAIN_CUSTOMERS_FULL_DATA")</f>
        <v/>
      </c>
      <c r="AE5">
        <f>BDS("662053Q US Equity","SUPPLY_CHAIN_SUPPLIERS_FULL_DATA")</f>
        <v/>
      </c>
      <c r="AS5">
        <f>BDS("662053Q US Equity","SUPPLY_CHAIN_CUSTOMERS_FULL_DATA")</f>
        <v/>
      </c>
      <c r="BI5">
        <f>BDS("UB US Equity","SUPPLY_CHAIN_SUPPLIERS_FULL_DATA")</f>
        <v/>
      </c>
      <c r="BW5">
        <f>BDS("UB US Equity","SUPPLY_CHAIN_CUSTOMERS_FULL_DATA")</f>
        <v/>
      </c>
      <c r="CM5">
        <f>BDS("HBAN US Equity","SUPPLY_CHAIN_SUPPLIERS_FULL_DATA")</f>
        <v/>
      </c>
      <c r="DA5">
        <f>BDS("HBAN US Equity","SUPPLY_CHAIN_CUSTOMERS_FULL_DATA")</f>
        <v/>
      </c>
      <c r="DQ5">
        <f>BDS("UBSI US Equity","SUPPLY_CHAIN_SUPPLIERS_FULL_DATA")</f>
        <v/>
      </c>
      <c r="EE5">
        <f>BDS("UBSI US Equity","SUPPLY_CHAIN_CUSTOMERS_FULL_DATA")</f>
        <v/>
      </c>
      <c r="EU5">
        <f>BDS("1023761D US Equity","SUPPLY_CHAIN_SUPPLIERS_FULL_DATA")</f>
        <v/>
      </c>
      <c r="FI5">
        <f>BDS("1023761D US Equity","SUPPLY_CHAIN_CUSTOMERS_FULL_DATA")</f>
        <v/>
      </c>
      <c r="FY5">
        <f>BDS("GBCI US Equity","SUPPLY_CHAIN_SUPPLIERS_FULL_DATA")</f>
        <v/>
      </c>
      <c r="GM5">
        <f>BDS("GBCI US Equity","SUPPLY_CHAIN_CUSTOMERS_FULL_DATA")</f>
        <v/>
      </c>
      <c r="HC5">
        <f>BDS("IBOC US Equity","SUPPLY_CHAIN_SUPPLIERS_FULL_DATA")</f>
        <v/>
      </c>
      <c r="HQ5">
        <f>BDS("IBOC US Equity","SUPPLY_CHAIN_CUSTOMERS_FULL_DATA")</f>
        <v/>
      </c>
      <c r="IG5">
        <f>BDS("BRK/A US Equity","SUPPLY_CHAIN_SUPPLIERS_FULL_DATA")</f>
        <v/>
      </c>
      <c r="IU5">
        <f>BDS("BRK/A US Equity","SUPPLY_CHAIN_CUSTOMERS_FULL_DATA")</f>
        <v/>
      </c>
      <c r="JK5">
        <f>BDS("838969Q US Equity","SUPPLY_CHAIN_SUPPLIERS_FULL_DATA")</f>
        <v/>
      </c>
      <c r="JY5">
        <f>BDS("838969Q US Equity","SUPPLY_CHAIN_CUSTOMERS_FULL_DATA")</f>
        <v/>
      </c>
      <c r="KO5">
        <f>BDS("FNB US Equity","SUPPLY_CHAIN_SUPPLIERS_FULL_DATA")</f>
        <v/>
      </c>
      <c r="LC5">
        <f>BDS("FNB US Equity","SUPPLY_CHAIN_CUSTOMERS_FULL_DATA")</f>
        <v/>
      </c>
      <c r="LS5">
        <f>BDS("2860436Q US Equity","SUPPLY_CHAIN_SUPPLIERS_FULL_DATA")</f>
        <v/>
      </c>
      <c r="MG5">
        <f>BDS("2860436Q US Equity","SUPPLY_CHAIN_CUSTOMERS_FULL_DATA")</f>
        <v/>
      </c>
      <c r="MW5">
        <f>BDS("8277831Q US Equity","SUPPLY_CHAIN_SUPPLIERS_FULL_DATA")</f>
        <v/>
      </c>
      <c r="NK5">
        <f>BDS("8277831Q US Equity","SUPPLY_CHAIN_CUSTOMERS_FULL_DATA")</f>
        <v/>
      </c>
      <c r="OA5">
        <f>BDS("SPLP US Equity","SUPPLY_CHAIN_SUPPLIERS_FULL_DATA")</f>
        <v/>
      </c>
      <c r="OO5">
        <f>BDS("SPLP US Equity","SUPPLY_CHAIN_CUSTOMERS_FULL_DATA")</f>
        <v/>
      </c>
      <c r="PE5">
        <f>BDS("1822785D US Equity","SUPPLY_CHAIN_SUPPLIERS_FULL_DATA")</f>
        <v/>
      </c>
      <c r="PS5">
        <f>BDS("1822785D US Equity","SUPPLY_CHAIN_CUSTOMERS_FULL_DATA")</f>
        <v/>
      </c>
      <c r="QI5">
        <f>BDS("BNCN US Equity","SUPPLY_CHAIN_SUPPLIERS_FULL_DATA")</f>
        <v/>
      </c>
      <c r="QW5">
        <f>BDS("BNCN US Equity","SUPPLY_CHAIN_CUSTOMERS_FULL_DATA")</f>
        <v/>
      </c>
      <c r="RM5">
        <f>BDS("ALAB US Equity","SUPPLY_CHAIN_SUPPLIERS_FULL_DATA")</f>
        <v/>
      </c>
      <c r="SA5">
        <f>BDS("ALAB US Equity","SUPPLY_CHAIN_CUSTOMERS_FULL_DATA")</f>
        <v/>
      </c>
      <c r="SQ5">
        <f>BDS("MLI US Equity","SUPPLY_CHAIN_SUPPLIERS_FULL_DATA")</f>
        <v/>
      </c>
      <c r="TE5">
        <f>BDS("MLI US Equity","SUPPLY_CHAIN_CUSTOMERS_FULL_DATA")</f>
        <v/>
      </c>
      <c r="TU5">
        <f>BDS("KWD US Equity","SUPPLY_CHAIN_SUPPLIERS_FULL_DATA")</f>
        <v/>
      </c>
      <c r="UI5">
        <f>BDS("KWD US Equity","SUPPLY_CHAIN_CUSTOMERS_FULL_DATA")</f>
        <v/>
      </c>
      <c r="UY5">
        <f>BDS("ITGR US Equity","SUPPLY_CHAIN_SUPPLIERS_FULL_DATA")</f>
        <v/>
      </c>
      <c r="VM5">
        <f>BDS("ITGR US Equity","SUPPLY_CHAIN_CUSTOMERS_FULL_DATA")</f>
        <v/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3441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3442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3443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3444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3445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3446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3447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3448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3449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3450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3451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3452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3453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3454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3455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3456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3457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3458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3459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3460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ZION US Equity</t>
        </is>
      </c>
      <c r="AE2" s="3" t="inlineStr">
        <is>
          <t>1255173D US Equity</t>
        </is>
      </c>
      <c r="BI2" s="3" t="inlineStr">
        <is>
          <t>MOFG US Equity</t>
        </is>
      </c>
      <c r="CM2" s="3" t="inlineStr">
        <is>
          <t>TSCPQ US Equity</t>
        </is>
      </c>
      <c r="DQ2" s="3" t="inlineStr">
        <is>
          <t>FCBN US Equity</t>
        </is>
      </c>
      <c r="EU2" s="3" t="inlineStr">
        <is>
          <t>ZAYO US Equity</t>
        </is>
      </c>
      <c r="FY2" s="3" t="inlineStr">
        <is>
          <t>KRNY US Equity</t>
        </is>
      </c>
      <c r="HC2" s="3" t="inlineStr">
        <is>
          <t>CUNB US Equity</t>
        </is>
      </c>
      <c r="IG2" s="3" t="inlineStr">
        <is>
          <t>TSICQ US Equity</t>
        </is>
      </c>
      <c r="JK2" s="3" t="inlineStr">
        <is>
          <t>BNCN US Equity</t>
        </is>
      </c>
      <c r="KO2" s="3" t="inlineStr">
        <is>
          <t>WSBC US Equity</t>
        </is>
      </c>
      <c r="LS2" s="3" t="inlineStr">
        <is>
          <t>CRLL US Equity</t>
        </is>
      </c>
      <c r="MW2" s="3" t="inlineStr">
        <is>
          <t>ITG US Equity</t>
        </is>
      </c>
      <c r="OA2" s="3" t="inlineStr">
        <is>
          <t>TSFG US Equity</t>
        </is>
      </c>
      <c r="PE2" s="3" t="inlineStr">
        <is>
          <t>NETM US Equity</t>
        </is>
      </c>
      <c r="QI2" s="3" t="inlineStr">
        <is>
          <t>TDY US Equity</t>
        </is>
      </c>
      <c r="RM2" s="3" t="inlineStr">
        <is>
          <t>1715651D US Equity</t>
        </is>
      </c>
      <c r="SQ2" s="3" t="inlineStr">
        <is>
          <t>KROL US Equity</t>
        </is>
      </c>
      <c r="TU2" s="3" t="inlineStr">
        <is>
          <t>KNBT US Equity</t>
        </is>
      </c>
      <c r="UY2" s="3" t="inlineStr">
        <is>
          <t>601238Q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BDS("ZION US Equity","SUPPLY_CHAIN_SUPPLIERS_FULL_DATA")</f>
        <v/>
      </c>
      <c r="O5">
        <f>BDS("ZION US Equity","SUPPLY_CHAIN_CUSTOMERS_FULL_DATA")</f>
        <v/>
      </c>
      <c r="AE5">
        <f>BDS("1255173D US Equity","SUPPLY_CHAIN_SUPPLIERS_FULL_DATA")</f>
        <v/>
      </c>
      <c r="AS5">
        <f>BDS("1255173D US Equity","SUPPLY_CHAIN_CUSTOMERS_FULL_DATA")</f>
        <v/>
      </c>
      <c r="BI5">
        <f>BDS("MOFG US Equity","SUPPLY_CHAIN_SUPPLIERS_FULL_DATA")</f>
        <v/>
      </c>
      <c r="BW5">
        <f>BDS("MOFG US Equity","SUPPLY_CHAIN_CUSTOMERS_FULL_DATA")</f>
        <v/>
      </c>
      <c r="CM5">
        <f>BDS("TSCPQ US Equity","SUPPLY_CHAIN_SUPPLIERS_FULL_DATA")</f>
        <v/>
      </c>
      <c r="DA5">
        <f>BDS("TSCPQ US Equity","SUPPLY_CHAIN_CUSTOMERS_FULL_DATA")</f>
        <v/>
      </c>
      <c r="DQ5">
        <f>BDS("FCBN US Equity","SUPPLY_CHAIN_SUPPLIERS_FULL_DATA")</f>
        <v/>
      </c>
      <c r="EE5">
        <f>BDS("FCBN US Equity","SUPPLY_CHAIN_CUSTOMERS_FULL_DATA")</f>
        <v/>
      </c>
      <c r="EU5">
        <f>BDS("ZAYO US Equity","SUPPLY_CHAIN_SUPPLIERS_FULL_DATA")</f>
        <v/>
      </c>
      <c r="FI5">
        <f>BDS("ZAYO US Equity","SUPPLY_CHAIN_CUSTOMERS_FULL_DATA")</f>
        <v/>
      </c>
      <c r="FY5">
        <f>BDS("KRNY US Equity","SUPPLY_CHAIN_SUPPLIERS_FULL_DATA")</f>
        <v/>
      </c>
      <c r="GM5">
        <f>BDS("KRNY US Equity","SUPPLY_CHAIN_CUSTOMERS_FULL_DATA")</f>
        <v/>
      </c>
      <c r="HC5">
        <f>BDS("CUNB US Equity","SUPPLY_CHAIN_SUPPLIERS_FULL_DATA")</f>
        <v/>
      </c>
      <c r="HQ5">
        <f>BDS("CUNB US Equity","SUPPLY_CHAIN_CUSTOMERS_FULL_DATA")</f>
        <v/>
      </c>
      <c r="IG5">
        <f>BDS("TSICQ US Equity","SUPPLY_CHAIN_SUPPLIERS_FULL_DATA")</f>
        <v/>
      </c>
      <c r="IU5">
        <f>BDS("TSICQ US Equity","SUPPLY_CHAIN_CUSTOMERS_FULL_DATA")</f>
        <v/>
      </c>
      <c r="JK5">
        <f>BDS("BNCN US Equity","SUPPLY_CHAIN_SUPPLIERS_FULL_DATA")</f>
        <v/>
      </c>
      <c r="JY5">
        <f>BDS("BNCN US Equity","SUPPLY_CHAIN_CUSTOMERS_FULL_DATA")</f>
        <v/>
      </c>
      <c r="KO5">
        <f>BDS("WSBC US Equity","SUPPLY_CHAIN_SUPPLIERS_FULL_DATA")</f>
        <v/>
      </c>
      <c r="LC5">
        <f>BDS("WSBC US Equity","SUPPLY_CHAIN_CUSTOMERS_FULL_DATA")</f>
        <v/>
      </c>
      <c r="LS5">
        <f>BDS("CRLL US Equity","SUPPLY_CHAIN_SUPPLIERS_FULL_DATA")</f>
        <v/>
      </c>
      <c r="MG5">
        <f>BDS("CRLL US Equity","SUPPLY_CHAIN_CUSTOMERS_FULL_DATA")</f>
        <v/>
      </c>
      <c r="MW5">
        <f>BDS("ITG US Equity","SUPPLY_CHAIN_SUPPLIERS_FULL_DATA")</f>
        <v/>
      </c>
      <c r="NK5">
        <f>BDS("ITG US Equity","SUPPLY_CHAIN_CUSTOMERS_FULL_DATA")</f>
        <v/>
      </c>
      <c r="OA5">
        <f>BDS("TSFG US Equity","SUPPLY_CHAIN_SUPPLIERS_FULL_DATA")</f>
        <v/>
      </c>
      <c r="OO5">
        <f>BDS("TSFG US Equity","SUPPLY_CHAIN_CUSTOMERS_FULL_DATA")</f>
        <v/>
      </c>
      <c r="PE5">
        <f>BDS("NETM US Equity","SUPPLY_CHAIN_SUPPLIERS_FULL_DATA")</f>
        <v/>
      </c>
      <c r="PS5">
        <f>BDS("NETM US Equity","SUPPLY_CHAIN_CUSTOMERS_FULL_DATA")</f>
        <v/>
      </c>
      <c r="QI5">
        <f>BDS("TDY US Equity","SUPPLY_CHAIN_SUPPLIERS_FULL_DATA")</f>
        <v/>
      </c>
      <c r="QW5">
        <f>BDS("TDY US Equity","SUPPLY_CHAIN_CUSTOMERS_FULL_DATA")</f>
        <v/>
      </c>
      <c r="RM5">
        <f>BDS("1715651D US Equity","SUPPLY_CHAIN_SUPPLIERS_FULL_DATA")</f>
        <v/>
      </c>
      <c r="SA5">
        <f>BDS("1715651D US Equity","SUPPLY_CHAIN_CUSTOMERS_FULL_DATA")</f>
        <v/>
      </c>
      <c r="SQ5">
        <f>BDS("KROL US Equity","SUPPLY_CHAIN_SUPPLIERS_FULL_DATA")</f>
        <v/>
      </c>
      <c r="TE5">
        <f>BDS("KROL US Equity","SUPPLY_CHAIN_CUSTOMERS_FULL_DATA")</f>
        <v/>
      </c>
      <c r="TU5">
        <f>BDS("KNBT US Equity","SUPPLY_CHAIN_SUPPLIERS_FULL_DATA")</f>
        <v/>
      </c>
      <c r="UI5">
        <f>BDS("KNBT US Equity","SUPPLY_CHAIN_CUSTOMERS_FULL_DATA")</f>
        <v/>
      </c>
      <c r="UY5">
        <f>BDS("601238Q US Equity","SUPPLY_CHAIN_SUPPLIERS_FULL_DATA")</f>
        <v/>
      </c>
      <c r="VM5">
        <f>BDS("601238Q US Equity","SUPPLY_CHAIN_CUSTOMERS_FULL_DATA")</f>
        <v/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3461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3462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3463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3464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3465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3466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3467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3468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3469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3470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3471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3472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3473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3474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3475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3476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3477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3478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3479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3480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UNBJ US Equity</t>
        </is>
      </c>
      <c r="AE2" s="3" t="inlineStr">
        <is>
          <t>1431816D US Equity</t>
        </is>
      </c>
      <c r="BI2" s="3" t="inlineStr">
        <is>
          <t>FULT US Equity</t>
        </is>
      </c>
      <c r="CM2" s="3" t="inlineStr">
        <is>
          <t>NBTB US Equity</t>
        </is>
      </c>
      <c r="DQ2" s="3" t="inlineStr">
        <is>
          <t>764144Q US Equity</t>
        </is>
      </c>
      <c r="EU2" s="3" t="inlineStr">
        <is>
          <t>FULT US Equity</t>
        </is>
      </c>
      <c r="FY2" s="3" t="inlineStr">
        <is>
          <t>WSFS US Equity</t>
        </is>
      </c>
      <c r="HC2" s="3" t="inlineStr">
        <is>
          <t>TMO US Equity</t>
        </is>
      </c>
      <c r="IG2" s="3" t="inlineStr">
        <is>
          <t>VRSOQ US Equity</t>
        </is>
      </c>
      <c r="JK2" s="3" t="inlineStr">
        <is>
          <t>INTC US Equity</t>
        </is>
      </c>
      <c r="KO2" s="3" t="inlineStr">
        <is>
          <t>TARRQ US Equity</t>
        </is>
      </c>
      <c r="LS2" s="3" t="inlineStr">
        <is>
          <t>CHCO US Equity</t>
        </is>
      </c>
      <c r="MW2" s="3" t="inlineStr">
        <is>
          <t>8215820Q US Equity</t>
        </is>
      </c>
      <c r="OA2" s="3" t="inlineStr">
        <is>
          <t>FMBH US Equity</t>
        </is>
      </c>
      <c r="PE2" s="3" t="inlineStr">
        <is>
          <t>0977894D US Equity</t>
        </is>
      </c>
      <c r="QI2" s="3" t="inlineStr">
        <is>
          <t>GBBK US Equity</t>
        </is>
      </c>
      <c r="RM2" s="3" t="inlineStr">
        <is>
          <t>MTTB US Equity</t>
        </is>
      </c>
      <c r="SQ2" s="3" t="inlineStr">
        <is>
          <t>NOVL US Equity</t>
        </is>
      </c>
      <c r="TU2" s="3" t="inlineStr">
        <is>
          <t>BOKF US Equity</t>
        </is>
      </c>
      <c r="UY2" s="3" t="inlineStr">
        <is>
          <t>COFS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BDS("UNBJ US Equity","SUPPLY_CHAIN_SUPPLIERS_FULL_DATA")</f>
        <v/>
      </c>
      <c r="O5">
        <f>BDS("UNBJ US Equity","SUPPLY_CHAIN_CUSTOMERS_FULL_DATA")</f>
        <v/>
      </c>
      <c r="AE5">
        <f>BDS("1431816D US Equity","SUPPLY_CHAIN_SUPPLIERS_FULL_DATA")</f>
        <v/>
      </c>
      <c r="AS5">
        <f>BDS("1431816D US Equity","SUPPLY_CHAIN_CUSTOMERS_FULL_DATA")</f>
        <v/>
      </c>
      <c r="BI5">
        <f>BDS("FULT US Equity","SUPPLY_CHAIN_SUPPLIERS_FULL_DATA")</f>
        <v/>
      </c>
      <c r="BW5">
        <f>BDS("FULT US Equity","SUPPLY_CHAIN_CUSTOMERS_FULL_DATA")</f>
        <v/>
      </c>
      <c r="CM5">
        <f>BDS("NBTB US Equity","SUPPLY_CHAIN_SUPPLIERS_FULL_DATA")</f>
        <v/>
      </c>
      <c r="DA5">
        <f>BDS("NBTB US Equity","SUPPLY_CHAIN_CUSTOMERS_FULL_DATA")</f>
        <v/>
      </c>
      <c r="DQ5">
        <f>BDS("764144Q US Equity","SUPPLY_CHAIN_SUPPLIERS_FULL_DATA")</f>
        <v/>
      </c>
      <c r="EE5">
        <f>BDS("764144Q US Equity","SUPPLY_CHAIN_CUSTOMERS_FULL_DATA")</f>
        <v/>
      </c>
      <c r="EU5">
        <f>BDS("FULT US Equity","SUPPLY_CHAIN_SUPPLIERS_FULL_DATA")</f>
        <v/>
      </c>
      <c r="FI5">
        <f>BDS("FULT US Equity","SUPPLY_CHAIN_CUSTOMERS_FULL_DATA")</f>
        <v/>
      </c>
      <c r="FY5">
        <f>BDS("WSFS US Equity","SUPPLY_CHAIN_SUPPLIERS_FULL_DATA")</f>
        <v/>
      </c>
      <c r="GM5">
        <f>BDS("WSFS US Equity","SUPPLY_CHAIN_CUSTOMERS_FULL_DATA")</f>
        <v/>
      </c>
      <c r="HC5">
        <f>BDS("TMO US Equity","SUPPLY_CHAIN_SUPPLIERS_FULL_DATA")</f>
        <v/>
      </c>
      <c r="HQ5">
        <f>BDS("TMO US Equity","SUPPLY_CHAIN_CUSTOMERS_FULL_DATA")</f>
        <v/>
      </c>
      <c r="IG5">
        <f>BDS("VRSOQ US Equity","SUPPLY_CHAIN_SUPPLIERS_FULL_DATA")</f>
        <v/>
      </c>
      <c r="IU5">
        <f>BDS("VRSOQ US Equity","SUPPLY_CHAIN_CUSTOMERS_FULL_DATA")</f>
        <v/>
      </c>
      <c r="JK5">
        <f>BDS("INTC US Equity","SUPPLY_CHAIN_SUPPLIERS_FULL_DATA")</f>
        <v/>
      </c>
      <c r="JY5">
        <f>BDS("INTC US Equity","SUPPLY_CHAIN_CUSTOMERS_FULL_DATA")</f>
        <v/>
      </c>
      <c r="KO5">
        <f>BDS("TARRQ US Equity","SUPPLY_CHAIN_SUPPLIERS_FULL_DATA")</f>
        <v/>
      </c>
      <c r="LC5">
        <f>BDS("TARRQ US Equity","SUPPLY_CHAIN_CUSTOMERS_FULL_DATA")</f>
        <v/>
      </c>
      <c r="LS5">
        <f>BDS("CHCO US Equity","SUPPLY_CHAIN_SUPPLIERS_FULL_DATA")</f>
        <v/>
      </c>
      <c r="MG5">
        <f>BDS("CHCO US Equity","SUPPLY_CHAIN_CUSTOMERS_FULL_DATA")</f>
        <v/>
      </c>
      <c r="MW5">
        <f>BDS("8215820Q US Equity","SUPPLY_CHAIN_SUPPLIERS_FULL_DATA")</f>
        <v/>
      </c>
      <c r="NK5">
        <f>BDS("8215820Q US Equity","SUPPLY_CHAIN_CUSTOMERS_FULL_DATA")</f>
        <v/>
      </c>
      <c r="OA5">
        <f>BDS("FMBH US Equity","SUPPLY_CHAIN_SUPPLIERS_FULL_DATA")</f>
        <v/>
      </c>
      <c r="OO5">
        <f>BDS("FMBH US Equity","SUPPLY_CHAIN_CUSTOMERS_FULL_DATA")</f>
        <v/>
      </c>
      <c r="PE5">
        <f>BDS("0977894D US Equity","SUPPLY_CHAIN_SUPPLIERS_FULL_DATA")</f>
        <v/>
      </c>
      <c r="PS5">
        <f>BDS("0977894D US Equity","SUPPLY_CHAIN_CUSTOMERS_FULL_DATA")</f>
        <v/>
      </c>
      <c r="QI5">
        <f>BDS("GBBK US Equity","SUPPLY_CHAIN_SUPPLIERS_FULL_DATA")</f>
        <v/>
      </c>
      <c r="QW5">
        <f>BDS("GBBK US Equity","SUPPLY_CHAIN_CUSTOMERS_FULL_DATA")</f>
        <v/>
      </c>
      <c r="RM5">
        <f>BDS("MTTB US Equity","SUPPLY_CHAIN_SUPPLIERS_FULL_DATA")</f>
        <v/>
      </c>
      <c r="SA5">
        <f>BDS("MTTB US Equity","SUPPLY_CHAIN_CUSTOMERS_FULL_DATA")</f>
        <v/>
      </c>
      <c r="SQ5">
        <f>BDS("NOVL US Equity","SUPPLY_CHAIN_SUPPLIERS_FULL_DATA")</f>
        <v/>
      </c>
      <c r="TE5">
        <f>BDS("NOVL US Equity","SUPPLY_CHAIN_CUSTOMERS_FULL_DATA")</f>
        <v/>
      </c>
      <c r="TU5">
        <f>BDS("BOKF US Equity","SUPPLY_CHAIN_SUPPLIERS_FULL_DATA")</f>
        <v/>
      </c>
      <c r="UI5">
        <f>BDS("BOKF US Equity","SUPPLY_CHAIN_CUSTOMERS_FULL_DATA")</f>
        <v/>
      </c>
      <c r="UY5">
        <f>BDS("COFS US Equity","SUPPLY_CHAIN_SUPPLIERS_FULL_DATA")</f>
        <v/>
      </c>
      <c r="VM5">
        <f>BDS("COFS US Equity","SUPPLY_CHAIN_CUSTOMERS_FULL_DATA")</f>
        <v/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3481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3482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3483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3484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3485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3486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3487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3488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3489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3490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3491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3492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3493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3494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3495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3496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3497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3498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3499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3500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540513Q US Equity</t>
        </is>
      </c>
      <c r="AE2" s="3" t="inlineStr">
        <is>
          <t>3520842Q US Equity</t>
        </is>
      </c>
      <c r="BI2" s="3" t="inlineStr">
        <is>
          <t>SNV US Equity</t>
        </is>
      </c>
      <c r="CM2" s="3" t="inlineStr">
        <is>
          <t>RILY US Equity</t>
        </is>
      </c>
      <c r="DQ2" s="3" t="inlineStr">
        <is>
          <t>CSCO US Equity</t>
        </is>
      </c>
      <c r="EU2" s="3" t="inlineStr">
        <is>
          <t>KROL US Equity</t>
        </is>
      </c>
      <c r="FY2" s="3" t="inlineStr">
        <is>
          <t>ERDR US Equity</t>
        </is>
      </c>
      <c r="HC2" s="3" t="inlineStr">
        <is>
          <t>GE US Equity</t>
        </is>
      </c>
      <c r="IG2" s="3" t="inlineStr">
        <is>
          <t>NPBC US Equity</t>
        </is>
      </c>
      <c r="JK2" s="3" t="inlineStr">
        <is>
          <t>SVC US Equity</t>
        </is>
      </c>
      <c r="KO2" s="3" t="inlineStr">
        <is>
          <t>ONIT US Equity</t>
        </is>
      </c>
      <c r="LS2" s="3" t="inlineStr">
        <is>
          <t>82473Q US Equity</t>
        </is>
      </c>
      <c r="MW2" s="3" t="inlineStr">
        <is>
          <t>LMNX US Equity</t>
        </is>
      </c>
      <c r="OA2" s="3" t="inlineStr">
        <is>
          <t>CNP US Equity</t>
        </is>
      </c>
      <c r="PE2" s="3" t="inlineStr">
        <is>
          <t>CSGP US Equity</t>
        </is>
      </c>
      <c r="QI2" s="3" t="inlineStr">
        <is>
          <t>CSCO US Equity</t>
        </is>
      </c>
      <c r="RM2" s="3" t="inlineStr">
        <is>
          <t>MAFB US Equity</t>
        </is>
      </c>
      <c r="SQ2" s="3" t="inlineStr">
        <is>
          <t>CBU US Equity</t>
        </is>
      </c>
      <c r="TU2" s="3" t="inlineStr">
        <is>
          <t>UCFC US Equity</t>
        </is>
      </c>
      <c r="UY2" s="3" t="inlineStr">
        <is>
          <t>FSLA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BDS("540513Q US Equity","SUPPLY_CHAIN_SUPPLIERS_FULL_DATA")</f>
        <v/>
      </c>
      <c r="O5">
        <f>BDS("540513Q US Equity","SUPPLY_CHAIN_CUSTOMERS_FULL_DATA")</f>
        <v/>
      </c>
      <c r="AE5">
        <f>BDS("3520842Q US Equity","SUPPLY_CHAIN_SUPPLIERS_FULL_DATA")</f>
        <v/>
      </c>
      <c r="AS5">
        <f>BDS("3520842Q US Equity","SUPPLY_CHAIN_CUSTOMERS_FULL_DATA")</f>
        <v/>
      </c>
      <c r="BI5">
        <f>BDS("SNV US Equity","SUPPLY_CHAIN_SUPPLIERS_FULL_DATA")</f>
        <v/>
      </c>
      <c r="BW5">
        <f>BDS("SNV US Equity","SUPPLY_CHAIN_CUSTOMERS_FULL_DATA")</f>
        <v/>
      </c>
      <c r="CM5">
        <f>BDS("RILY US Equity","SUPPLY_CHAIN_SUPPLIERS_FULL_DATA")</f>
        <v/>
      </c>
      <c r="DA5">
        <f>BDS("RILY US Equity","SUPPLY_CHAIN_CUSTOMERS_FULL_DATA")</f>
        <v/>
      </c>
      <c r="DQ5">
        <f>BDS("CSCO US Equity","SUPPLY_CHAIN_SUPPLIERS_FULL_DATA")</f>
        <v/>
      </c>
      <c r="EE5">
        <f>BDS("CSCO US Equity","SUPPLY_CHAIN_CUSTOMERS_FULL_DATA")</f>
        <v/>
      </c>
      <c r="EU5">
        <f>BDS("KROL US Equity","SUPPLY_CHAIN_SUPPLIERS_FULL_DATA")</f>
        <v/>
      </c>
      <c r="FI5">
        <f>BDS("KROL US Equity","SUPPLY_CHAIN_CUSTOMERS_FULL_DATA")</f>
        <v/>
      </c>
      <c r="FY5">
        <f>BDS("ERDR US Equity","SUPPLY_CHAIN_SUPPLIERS_FULL_DATA")</f>
        <v/>
      </c>
      <c r="GM5">
        <f>BDS("ERDR US Equity","SUPPLY_CHAIN_CUSTOMERS_FULL_DATA")</f>
        <v/>
      </c>
      <c r="HC5">
        <f>BDS("GE US Equity","SUPPLY_CHAIN_SUPPLIERS_FULL_DATA")</f>
        <v/>
      </c>
      <c r="HQ5">
        <f>BDS("GE US Equity","SUPPLY_CHAIN_CUSTOMERS_FULL_DATA")</f>
        <v/>
      </c>
      <c r="IG5">
        <f>BDS("NPBC US Equity","SUPPLY_CHAIN_SUPPLIERS_FULL_DATA")</f>
        <v/>
      </c>
      <c r="IU5">
        <f>BDS("NPBC US Equity","SUPPLY_CHAIN_CUSTOMERS_FULL_DATA")</f>
        <v/>
      </c>
      <c r="JK5">
        <f>BDS("SVC US Equity","SUPPLY_CHAIN_SUPPLIERS_FULL_DATA")</f>
        <v/>
      </c>
      <c r="JY5">
        <f>BDS("SVC US Equity","SUPPLY_CHAIN_CUSTOMERS_FULL_DATA")</f>
        <v/>
      </c>
      <c r="KO5">
        <f>BDS("ONIT US Equity","SUPPLY_CHAIN_SUPPLIERS_FULL_DATA")</f>
        <v/>
      </c>
      <c r="LC5">
        <f>BDS("ONIT US Equity","SUPPLY_CHAIN_CUSTOMERS_FULL_DATA")</f>
        <v/>
      </c>
      <c r="LS5">
        <f>BDS("82473Q US Equity","SUPPLY_CHAIN_SUPPLIERS_FULL_DATA")</f>
        <v/>
      </c>
      <c r="MG5">
        <f>BDS("82473Q US Equity","SUPPLY_CHAIN_CUSTOMERS_FULL_DATA")</f>
        <v/>
      </c>
      <c r="MW5">
        <f>BDS("LMNX US Equity","SUPPLY_CHAIN_SUPPLIERS_FULL_DATA")</f>
        <v/>
      </c>
      <c r="NK5">
        <f>BDS("LMNX US Equity","SUPPLY_CHAIN_CUSTOMERS_FULL_DATA")</f>
        <v/>
      </c>
      <c r="OA5">
        <f>BDS("CNP US Equity","SUPPLY_CHAIN_SUPPLIERS_FULL_DATA")</f>
        <v/>
      </c>
      <c r="OO5">
        <f>BDS("CNP US Equity","SUPPLY_CHAIN_CUSTOMERS_FULL_DATA")</f>
        <v/>
      </c>
      <c r="PE5">
        <f>BDS("CSGP US Equity","SUPPLY_CHAIN_SUPPLIERS_FULL_DATA")</f>
        <v/>
      </c>
      <c r="PS5">
        <f>BDS("CSGP US Equity","SUPPLY_CHAIN_CUSTOMERS_FULL_DATA")</f>
        <v/>
      </c>
      <c r="QI5">
        <f>BDS("CSCO US Equity","SUPPLY_CHAIN_SUPPLIERS_FULL_DATA")</f>
        <v/>
      </c>
      <c r="QW5">
        <f>BDS("CSCO US Equity","SUPPLY_CHAIN_CUSTOMERS_FULL_DATA")</f>
        <v/>
      </c>
      <c r="RM5">
        <f>BDS("MAFB US Equity","SUPPLY_CHAIN_SUPPLIERS_FULL_DATA")</f>
        <v/>
      </c>
      <c r="SA5">
        <f>BDS("MAFB US Equity","SUPPLY_CHAIN_CUSTOMERS_FULL_DATA")</f>
        <v/>
      </c>
      <c r="SQ5">
        <f>BDS("CBU US Equity","SUPPLY_CHAIN_SUPPLIERS_FULL_DATA")</f>
        <v/>
      </c>
      <c r="TE5">
        <f>BDS("CBU US Equity","SUPPLY_CHAIN_CUSTOMERS_FULL_DATA")</f>
        <v/>
      </c>
      <c r="TU5">
        <f>BDS("UCFC US Equity","SUPPLY_CHAIN_SUPPLIERS_FULL_DATA")</f>
        <v/>
      </c>
      <c r="UI5">
        <f>BDS("UCFC US Equity","SUPPLY_CHAIN_CUSTOMERS_FULL_DATA")</f>
        <v/>
      </c>
      <c r="UY5">
        <f>BDS("FSLA US Equity","SUPPLY_CHAIN_SUPPLIERS_FULL_DATA")</f>
        <v/>
      </c>
      <c r="VM5">
        <f>BDS("FSLA US Equity","SUPPLY_CHAIN_CUSTOMERS_FULL_DATA")</f>
        <v/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3501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3502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3503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3504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3505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3506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3507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3508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3509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3510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3511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3512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3513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3514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3515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3516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3517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3518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3519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3520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3482Q US Equity</t>
        </is>
      </c>
      <c r="AE2" s="3" t="inlineStr">
        <is>
          <t>1518080D US Equity</t>
        </is>
      </c>
      <c r="BI2" s="3" t="inlineStr">
        <is>
          <t>HNH US Equity</t>
        </is>
      </c>
      <c r="CM2" s="3" t="inlineStr">
        <is>
          <t>8206908Q US Equity</t>
        </is>
      </c>
      <c r="DQ2" s="3" t="inlineStr">
        <is>
          <t>IIIV US Equity</t>
        </is>
      </c>
      <c r="EU2" s="3" t="inlineStr">
        <is>
          <t>ARXX US Equity</t>
        </is>
      </c>
      <c r="FY2" s="3" t="inlineStr">
        <is>
          <t>nan Equity</t>
        </is>
      </c>
      <c r="HC2" s="3" t="inlineStr">
        <is>
          <t>STBA US Equity</t>
        </is>
      </c>
      <c r="IG2" s="3" t="inlineStr">
        <is>
          <t>nan Equity</t>
        </is>
      </c>
      <c r="JK2" s="3" t="inlineStr">
        <is>
          <t>NBTB US Equity</t>
        </is>
      </c>
      <c r="KO2" s="3" t="inlineStr">
        <is>
          <t>CFR US Equity</t>
        </is>
      </c>
      <c r="LS2" s="3" t="inlineStr">
        <is>
          <t>STEL US Equity</t>
        </is>
      </c>
      <c r="MW2" s="3" t="inlineStr">
        <is>
          <t>IFCJ US Equity</t>
        </is>
      </c>
      <c r="OA2" s="3" t="inlineStr">
        <is>
          <t>2119228Q US Equity</t>
        </is>
      </c>
      <c r="PE2" s="3" t="inlineStr">
        <is>
          <t>EMR US Equity</t>
        </is>
      </c>
      <c r="QI2" s="3" t="inlineStr">
        <is>
          <t>56485Q US Equity</t>
        </is>
      </c>
      <c r="RM2" s="3" t="inlineStr">
        <is>
          <t>HFWA US Equity</t>
        </is>
      </c>
      <c r="SQ2" s="3" t="inlineStr">
        <is>
          <t>QMCO US Equity</t>
        </is>
      </c>
      <c r="TU2" s="3" t="inlineStr">
        <is>
          <t>EFSC US Equity</t>
        </is>
      </c>
      <c r="UY2" s="3" t="inlineStr">
        <is>
          <t>FNFG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BDS("3482Q US Equity","SUPPLY_CHAIN_SUPPLIERS_FULL_DATA")</f>
        <v/>
      </c>
      <c r="O5">
        <f>BDS("3482Q US Equity","SUPPLY_CHAIN_CUSTOMERS_FULL_DATA")</f>
        <v/>
      </c>
      <c r="AE5">
        <f>BDS("1518080D US Equity","SUPPLY_CHAIN_SUPPLIERS_FULL_DATA")</f>
        <v/>
      </c>
      <c r="AS5">
        <f>BDS("1518080D US Equity","SUPPLY_CHAIN_CUSTOMERS_FULL_DATA")</f>
        <v/>
      </c>
      <c r="BI5">
        <f>BDS("HNH US Equity","SUPPLY_CHAIN_SUPPLIERS_FULL_DATA")</f>
        <v/>
      </c>
      <c r="BW5">
        <f>BDS("HNH US Equity","SUPPLY_CHAIN_CUSTOMERS_FULL_DATA")</f>
        <v/>
      </c>
      <c r="CM5">
        <f>BDS("8206908Q US Equity","SUPPLY_CHAIN_SUPPLIERS_FULL_DATA")</f>
        <v/>
      </c>
      <c r="DA5">
        <f>BDS("8206908Q US Equity","SUPPLY_CHAIN_CUSTOMERS_FULL_DATA")</f>
        <v/>
      </c>
      <c r="DQ5">
        <f>BDS("IIIV US Equity","SUPPLY_CHAIN_SUPPLIERS_FULL_DATA")</f>
        <v/>
      </c>
      <c r="EE5">
        <f>BDS("IIIV US Equity","SUPPLY_CHAIN_CUSTOMERS_FULL_DATA")</f>
        <v/>
      </c>
      <c r="EU5">
        <f>BDS("ARXX US Equity","SUPPLY_CHAIN_SUPPLIERS_FULL_DATA")</f>
        <v/>
      </c>
      <c r="FI5">
        <f>BDS("ARXX US Equity","SUPPLY_CHAIN_CUSTOMERS_FULL_DATA")</f>
        <v/>
      </c>
      <c r="FY5">
        <f>BDS("nan Equity","SUPPLY_CHAIN_SUPPLIERS_FULL_DATA")</f>
        <v/>
      </c>
      <c r="GM5">
        <f>BDS("nan Equity","SUPPLY_CHAIN_CUSTOMERS_FULL_DATA")</f>
        <v/>
      </c>
      <c r="HC5">
        <f>BDS("STBA US Equity","SUPPLY_CHAIN_SUPPLIERS_FULL_DATA")</f>
        <v/>
      </c>
      <c r="HQ5">
        <f>BDS("STBA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BDS("NBTB US Equity","SUPPLY_CHAIN_SUPPLIERS_FULL_DATA")</f>
        <v/>
      </c>
      <c r="JY5">
        <f>BDS("NBTB US Equity","SUPPLY_CHAIN_CUSTOMERS_FULL_DATA")</f>
        <v/>
      </c>
      <c r="KO5">
        <f>BDS("CFR US Equity","SUPPLY_CHAIN_SUPPLIERS_FULL_DATA")</f>
        <v/>
      </c>
      <c r="LC5">
        <f>BDS("CFR US Equity","SUPPLY_CHAIN_CUSTOMERS_FULL_DATA")</f>
        <v/>
      </c>
      <c r="LS5">
        <f>BDS("STEL US Equity","SUPPLY_CHAIN_SUPPLIERS_FULL_DATA")</f>
        <v/>
      </c>
      <c r="MG5">
        <f>BDS("STEL US Equity","SUPPLY_CHAIN_CUSTOMERS_FULL_DATA")</f>
        <v/>
      </c>
      <c r="MW5">
        <f>BDS("IFCJ US Equity","SUPPLY_CHAIN_SUPPLIERS_FULL_DATA")</f>
        <v/>
      </c>
      <c r="NK5">
        <f>BDS("IFCJ US Equity","SUPPLY_CHAIN_CUSTOMERS_FULL_DATA")</f>
        <v/>
      </c>
      <c r="OA5">
        <f>BDS("2119228Q US Equity","SUPPLY_CHAIN_SUPPLIERS_FULL_DATA")</f>
        <v/>
      </c>
      <c r="OO5">
        <f>BDS("2119228Q US Equity","SUPPLY_CHAIN_CUSTOMERS_FULL_DATA")</f>
        <v/>
      </c>
      <c r="PE5">
        <f>BDS("EMR US Equity","SUPPLY_CHAIN_SUPPLIERS_FULL_DATA")</f>
        <v/>
      </c>
      <c r="PS5">
        <f>BDS("EMR US Equity","SUPPLY_CHAIN_CUSTOMERS_FULL_DATA")</f>
        <v/>
      </c>
      <c r="QI5">
        <f>BDS("56485Q US Equity","SUPPLY_CHAIN_SUPPLIERS_FULL_DATA")</f>
        <v/>
      </c>
      <c r="QW5">
        <f>BDS("56485Q US Equity","SUPPLY_CHAIN_CUSTOMERS_FULL_DATA")</f>
        <v/>
      </c>
      <c r="RM5">
        <f>BDS("HFWA US Equity","SUPPLY_CHAIN_SUPPLIERS_FULL_DATA")</f>
        <v/>
      </c>
      <c r="SA5">
        <f>BDS("HFWA US Equity","SUPPLY_CHAIN_CUSTOMERS_FULL_DATA")</f>
        <v/>
      </c>
      <c r="SQ5">
        <f>BDS("QMCO US Equity","SUPPLY_CHAIN_SUPPLIERS_FULL_DATA")</f>
        <v/>
      </c>
      <c r="TE5">
        <f>BDS("QMCO US Equity","SUPPLY_CHAIN_CUSTOMERS_FULL_DATA")</f>
        <v/>
      </c>
      <c r="TU5">
        <f>BDS("EFSC US Equity","SUPPLY_CHAIN_SUPPLIERS_FULL_DATA")</f>
        <v/>
      </c>
      <c r="UI5">
        <f>BDS("EFSC US Equity","SUPPLY_CHAIN_CUSTOMERS_FULL_DATA")</f>
        <v/>
      </c>
      <c r="UY5">
        <f>BDS("FNFG US Equity","SUPPLY_CHAIN_SUPPLIERS_FULL_DATA")</f>
        <v/>
      </c>
      <c r="VM5">
        <f>BDS("FNFG US Equity","SUPPLY_CHAIN_CUSTOMERS_FULL_DATA")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3521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3522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3523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3524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3525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3526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3527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3528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3529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3530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3531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3532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3533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3534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3535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3536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3537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3538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3539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3540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764144Q US Equity</t>
        </is>
      </c>
      <c r="AE2" s="3" t="inlineStr">
        <is>
          <t>3264Q US Equity</t>
        </is>
      </c>
      <c r="BI2" s="3" t="inlineStr">
        <is>
          <t>1916526D US Equity</t>
        </is>
      </c>
      <c r="CM2" s="3" t="inlineStr">
        <is>
          <t>696500Q US Equity</t>
        </is>
      </c>
      <c r="DQ2" s="3" t="inlineStr">
        <is>
          <t>SPSS US Equity</t>
        </is>
      </c>
      <c r="EU2" s="3" t="inlineStr">
        <is>
          <t>UNTC US Equity</t>
        </is>
      </c>
      <c r="FY2" s="3" t="inlineStr">
        <is>
          <t>GTK US Equity</t>
        </is>
      </c>
      <c r="HC2" s="3" t="inlineStr">
        <is>
          <t>1520415D US Equity</t>
        </is>
      </c>
      <c r="IG2" s="3" t="inlineStr">
        <is>
          <t>AEGN US Equity</t>
        </is>
      </c>
      <c r="JK2" s="3" t="inlineStr">
        <is>
          <t>MRK US Equity</t>
        </is>
      </c>
      <c r="KO2" s="3" t="inlineStr">
        <is>
          <t>SYK US Equity</t>
        </is>
      </c>
      <c r="LS2" s="3" t="inlineStr">
        <is>
          <t>WSBC US Equity</t>
        </is>
      </c>
      <c r="MW2" s="3" t="inlineStr">
        <is>
          <t>FMBI US Equity</t>
        </is>
      </c>
      <c r="OA2" s="3" t="inlineStr">
        <is>
          <t>FIBK US Equity</t>
        </is>
      </c>
      <c r="PE2" s="3" t="inlineStr">
        <is>
          <t>GE US Equity</t>
        </is>
      </c>
      <c r="QI2" s="3" t="inlineStr">
        <is>
          <t>BRMR US Equity</t>
        </is>
      </c>
      <c r="RM2" s="3" t="inlineStr">
        <is>
          <t>GE US Equity</t>
        </is>
      </c>
      <c r="SQ2" s="3" t="inlineStr">
        <is>
          <t>SIB US Equity</t>
        </is>
      </c>
      <c r="TU2" s="3" t="inlineStr">
        <is>
          <t>FRME US Equity</t>
        </is>
      </c>
      <c r="UY2" s="3" t="inlineStr">
        <is>
          <t>BORL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BDS("764144Q US Equity","SUPPLY_CHAIN_SUPPLIERS_FULL_DATA")</f>
        <v/>
      </c>
      <c r="O5">
        <f>BDS("764144Q US Equity","SUPPLY_CHAIN_CUSTOMERS_FULL_DATA")</f>
        <v/>
      </c>
      <c r="AE5">
        <f>BDS("3264Q US Equity","SUPPLY_CHAIN_SUPPLIERS_FULL_DATA")</f>
        <v/>
      </c>
      <c r="AS5">
        <f>BDS("3264Q US Equity","SUPPLY_CHAIN_CUSTOMERS_FULL_DATA")</f>
        <v/>
      </c>
      <c r="BI5">
        <f>BDS("1916526D US Equity","SUPPLY_CHAIN_SUPPLIERS_FULL_DATA")</f>
        <v/>
      </c>
      <c r="BW5">
        <f>BDS("1916526D US Equity","SUPPLY_CHAIN_CUSTOMERS_FULL_DATA")</f>
        <v/>
      </c>
      <c r="CM5">
        <f>BDS("696500Q US Equity","SUPPLY_CHAIN_SUPPLIERS_FULL_DATA")</f>
        <v/>
      </c>
      <c r="DA5">
        <f>BDS("696500Q US Equity","SUPPLY_CHAIN_CUSTOMERS_FULL_DATA")</f>
        <v/>
      </c>
      <c r="DQ5">
        <f>BDS("SPSS US Equity","SUPPLY_CHAIN_SUPPLIERS_FULL_DATA")</f>
        <v/>
      </c>
      <c r="EE5">
        <f>BDS("SPSS US Equity","SUPPLY_CHAIN_CUSTOMERS_FULL_DATA")</f>
        <v/>
      </c>
      <c r="EU5">
        <f>BDS("UNTC US Equity","SUPPLY_CHAIN_SUPPLIERS_FULL_DATA")</f>
        <v/>
      </c>
      <c r="FI5">
        <f>BDS("UNTC US Equity","SUPPLY_CHAIN_CUSTOMERS_FULL_DATA")</f>
        <v/>
      </c>
      <c r="FY5">
        <f>BDS("GTK US Equity","SUPPLY_CHAIN_SUPPLIERS_FULL_DATA")</f>
        <v/>
      </c>
      <c r="GM5">
        <f>BDS("GTK US Equity","SUPPLY_CHAIN_CUSTOMERS_FULL_DATA")</f>
        <v/>
      </c>
      <c r="HC5">
        <f>BDS("1520415D US Equity","SUPPLY_CHAIN_SUPPLIERS_FULL_DATA")</f>
        <v/>
      </c>
      <c r="HQ5">
        <f>BDS("1520415D US Equity","SUPPLY_CHAIN_CUSTOMERS_FULL_DATA")</f>
        <v/>
      </c>
      <c r="IG5">
        <f>BDS("AEGN US Equity","SUPPLY_CHAIN_SUPPLIERS_FULL_DATA")</f>
        <v/>
      </c>
      <c r="IU5">
        <f>BDS("AEGN US Equity","SUPPLY_CHAIN_CUSTOMERS_FULL_DATA")</f>
        <v/>
      </c>
      <c r="JK5">
        <f>BDS("MRK US Equity","SUPPLY_CHAIN_SUPPLIERS_FULL_DATA")</f>
        <v/>
      </c>
      <c r="JY5">
        <f>BDS("MRK US Equity","SUPPLY_CHAIN_CUSTOMERS_FULL_DATA")</f>
        <v/>
      </c>
      <c r="KO5">
        <f>BDS("SYK US Equity","SUPPLY_CHAIN_SUPPLIERS_FULL_DATA")</f>
        <v/>
      </c>
      <c r="LC5">
        <f>BDS("SYK US Equity","SUPPLY_CHAIN_CUSTOMERS_FULL_DATA")</f>
        <v/>
      </c>
      <c r="LS5">
        <f>BDS("WSBC US Equity","SUPPLY_CHAIN_SUPPLIERS_FULL_DATA")</f>
        <v/>
      </c>
      <c r="MG5">
        <f>BDS("WSBC US Equity","SUPPLY_CHAIN_CUSTOMERS_FULL_DATA")</f>
        <v/>
      </c>
      <c r="MW5">
        <f>BDS("FMBI US Equity","SUPPLY_CHAIN_SUPPLIERS_FULL_DATA")</f>
        <v/>
      </c>
      <c r="NK5">
        <f>BDS("FMBI US Equity","SUPPLY_CHAIN_CUSTOMERS_FULL_DATA")</f>
        <v/>
      </c>
      <c r="OA5">
        <f>BDS("FIBK US Equity","SUPPLY_CHAIN_SUPPLIERS_FULL_DATA")</f>
        <v/>
      </c>
      <c r="OO5">
        <f>BDS("FIBK US Equity","SUPPLY_CHAIN_CUSTOMERS_FULL_DATA")</f>
        <v/>
      </c>
      <c r="PE5">
        <f>BDS("GE US Equity","SUPPLY_CHAIN_SUPPLIERS_FULL_DATA")</f>
        <v/>
      </c>
      <c r="PS5">
        <f>BDS("GE US Equity","SUPPLY_CHAIN_CUSTOMERS_FULL_DATA")</f>
        <v/>
      </c>
      <c r="QI5">
        <f>BDS("BRMR US Equity","SUPPLY_CHAIN_SUPPLIERS_FULL_DATA")</f>
        <v/>
      </c>
      <c r="QW5">
        <f>BDS("BRMR US Equity","SUPPLY_CHAIN_CUSTOMERS_FULL_DATA")</f>
        <v/>
      </c>
      <c r="RM5">
        <f>BDS("GE US Equity","SUPPLY_CHAIN_SUPPLIERS_FULL_DATA")</f>
        <v/>
      </c>
      <c r="SA5">
        <f>BDS("GE US Equity","SUPPLY_CHAIN_CUSTOMERS_FULL_DATA")</f>
        <v/>
      </c>
      <c r="SQ5">
        <f>BDS("SIB US Equity","SUPPLY_CHAIN_SUPPLIERS_FULL_DATA")</f>
        <v/>
      </c>
      <c r="TE5">
        <f>BDS("SIB US Equity","SUPPLY_CHAIN_CUSTOMERS_FULL_DATA")</f>
        <v/>
      </c>
      <c r="TU5">
        <f>BDS("FRME US Equity","SUPPLY_CHAIN_SUPPLIERS_FULL_DATA")</f>
        <v/>
      </c>
      <c r="UI5">
        <f>BDS("FRME US Equity","SUPPLY_CHAIN_CUSTOMERS_FULL_DATA")</f>
        <v/>
      </c>
      <c r="UY5">
        <f>BDS("BORL US Equity","SUPPLY_CHAIN_SUPPLIERS_FULL_DATA")</f>
        <v/>
      </c>
      <c r="VM5">
        <f>BDS("BORL US Equity","SUPPLY_CHAIN_CUSTOMERS_FULL_DATA")</f>
        <v/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3541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3542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3543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3544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3545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3546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3547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3548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3549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3550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3551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3552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3553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3554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3555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3556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3557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3558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3559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3560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1670211D US Equity</t>
        </is>
      </c>
      <c r="AE2" s="3" t="inlineStr">
        <is>
          <t>NWBI US Equity</t>
        </is>
      </c>
      <c r="BI2" s="3" t="inlineStr">
        <is>
          <t>1978022D US Equity</t>
        </is>
      </c>
      <c r="CM2" s="3" t="inlineStr">
        <is>
          <t>HFWA US Equity</t>
        </is>
      </c>
      <c r="DQ2" s="3" t="inlineStr">
        <is>
          <t>RCNCQ US Equity</t>
        </is>
      </c>
      <c r="EU2" s="3" t="inlineStr">
        <is>
          <t>GABC US Equity</t>
        </is>
      </c>
      <c r="FY2" s="3" t="inlineStr">
        <is>
          <t>ENVA US Equity</t>
        </is>
      </c>
      <c r="HC2" s="3" t="inlineStr">
        <is>
          <t>TMP US Equity</t>
        </is>
      </c>
      <c r="IG2" s="3" t="inlineStr">
        <is>
          <t>696119Q US Equity</t>
        </is>
      </c>
      <c r="JK2" s="3" t="inlineStr">
        <is>
          <t>DIAN US Equity</t>
        </is>
      </c>
      <c r="KO2" s="3" t="inlineStr">
        <is>
          <t>CG US Equity</t>
        </is>
      </c>
      <c r="LS2" s="3" t="inlineStr">
        <is>
          <t>FNB US Equity</t>
        </is>
      </c>
      <c r="MW2" s="3" t="inlineStr">
        <is>
          <t>TCF US Equity</t>
        </is>
      </c>
      <c r="OA2" s="3" t="inlineStr">
        <is>
          <t>1996074D US Equity</t>
        </is>
      </c>
      <c r="PE2" s="3" t="inlineStr">
        <is>
          <t>WFC US Equity</t>
        </is>
      </c>
      <c r="QI2" s="3" t="inlineStr">
        <is>
          <t>TMP US Equity</t>
        </is>
      </c>
      <c r="RM2" s="3" t="inlineStr">
        <is>
          <t>ESBF US Equity</t>
        </is>
      </c>
      <c r="SQ2" s="3" t="inlineStr">
        <is>
          <t>CLGX US Equity</t>
        </is>
      </c>
      <c r="TU2" s="3" t="inlineStr">
        <is>
          <t>PTEN US Equity</t>
        </is>
      </c>
      <c r="UY2" s="3" t="inlineStr">
        <is>
          <t>ONB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BDS("1670211D US Equity","SUPPLY_CHAIN_SUPPLIERS_FULL_DATA")</f>
        <v/>
      </c>
      <c r="O5">
        <f>BDS("1670211D US Equity","SUPPLY_CHAIN_CUSTOMERS_FULL_DATA")</f>
        <v/>
      </c>
      <c r="AE5">
        <f>BDS("NWBI US Equity","SUPPLY_CHAIN_SUPPLIERS_FULL_DATA")</f>
        <v/>
      </c>
      <c r="AS5">
        <f>BDS("NWBI US Equity","SUPPLY_CHAIN_CUSTOMERS_FULL_DATA")</f>
        <v/>
      </c>
      <c r="BI5">
        <f>BDS("1978022D US Equity","SUPPLY_CHAIN_SUPPLIERS_FULL_DATA")</f>
        <v/>
      </c>
      <c r="BW5">
        <f>BDS("1978022D US Equity","SUPPLY_CHAIN_CUSTOMERS_FULL_DATA")</f>
        <v/>
      </c>
      <c r="CM5">
        <f>BDS("HFWA US Equity","SUPPLY_CHAIN_SUPPLIERS_FULL_DATA")</f>
        <v/>
      </c>
      <c r="DA5">
        <f>BDS("HFWA US Equity","SUPPLY_CHAIN_CUSTOMERS_FULL_DATA")</f>
        <v/>
      </c>
      <c r="DQ5">
        <f>BDS("RCNCQ US Equity","SUPPLY_CHAIN_SUPPLIERS_FULL_DATA")</f>
        <v/>
      </c>
      <c r="EE5">
        <f>BDS("RCNCQ US Equity","SUPPLY_CHAIN_CUSTOMERS_FULL_DATA")</f>
        <v/>
      </c>
      <c r="EU5">
        <f>BDS("GABC US Equity","SUPPLY_CHAIN_SUPPLIERS_FULL_DATA")</f>
        <v/>
      </c>
      <c r="FI5">
        <f>BDS("GABC US Equity","SUPPLY_CHAIN_CUSTOMERS_FULL_DATA")</f>
        <v/>
      </c>
      <c r="FY5">
        <f>BDS("ENVA US Equity","SUPPLY_CHAIN_SUPPLIERS_FULL_DATA")</f>
        <v/>
      </c>
      <c r="GM5">
        <f>BDS("ENVA US Equity","SUPPLY_CHAIN_CUSTOMERS_FULL_DATA")</f>
        <v/>
      </c>
      <c r="HC5">
        <f>BDS("TMP US Equity","SUPPLY_CHAIN_SUPPLIERS_FULL_DATA")</f>
        <v/>
      </c>
      <c r="HQ5">
        <f>BDS("TMP US Equity","SUPPLY_CHAIN_CUSTOMERS_FULL_DATA")</f>
        <v/>
      </c>
      <c r="IG5">
        <f>BDS("696119Q US Equity","SUPPLY_CHAIN_SUPPLIERS_FULL_DATA")</f>
        <v/>
      </c>
      <c r="IU5">
        <f>BDS("696119Q US Equity","SUPPLY_CHAIN_CUSTOMERS_FULL_DATA")</f>
        <v/>
      </c>
      <c r="JK5">
        <f>BDS("DIAN US Equity","SUPPLY_CHAIN_SUPPLIERS_FULL_DATA")</f>
        <v/>
      </c>
      <c r="JY5">
        <f>BDS("DIAN US Equity","SUPPLY_CHAIN_CUSTOMERS_FULL_DATA")</f>
        <v/>
      </c>
      <c r="KO5">
        <f>BDS("CG US Equity","SUPPLY_CHAIN_SUPPLIERS_FULL_DATA")</f>
        <v/>
      </c>
      <c r="LC5">
        <f>BDS("CG US Equity","SUPPLY_CHAIN_CUSTOMERS_FULL_DATA")</f>
        <v/>
      </c>
      <c r="LS5">
        <f>BDS("FNB US Equity","SUPPLY_CHAIN_SUPPLIERS_FULL_DATA")</f>
        <v/>
      </c>
      <c r="MG5">
        <f>BDS("FNB US Equity","SUPPLY_CHAIN_CUSTOMERS_FULL_DATA")</f>
        <v/>
      </c>
      <c r="MW5">
        <f>BDS("TCF US Equity","SUPPLY_CHAIN_SUPPLIERS_FULL_DATA")</f>
        <v/>
      </c>
      <c r="NK5">
        <f>BDS("TCF US Equity","SUPPLY_CHAIN_CUSTOMERS_FULL_DATA")</f>
        <v/>
      </c>
      <c r="OA5">
        <f>BDS("1996074D US Equity","SUPPLY_CHAIN_SUPPLIERS_FULL_DATA")</f>
        <v/>
      </c>
      <c r="OO5">
        <f>BDS("1996074D US Equity","SUPPLY_CHAIN_CUSTOMERS_FULL_DATA")</f>
        <v/>
      </c>
      <c r="PE5">
        <f>BDS("WFC US Equity","SUPPLY_CHAIN_SUPPLIERS_FULL_DATA")</f>
        <v/>
      </c>
      <c r="PS5">
        <f>BDS("WFC US Equity","SUPPLY_CHAIN_CUSTOMERS_FULL_DATA")</f>
        <v/>
      </c>
      <c r="QI5">
        <f>BDS("TMP US Equity","SUPPLY_CHAIN_SUPPLIERS_FULL_DATA")</f>
        <v/>
      </c>
      <c r="QW5">
        <f>BDS("TMP US Equity","SUPPLY_CHAIN_CUSTOMERS_FULL_DATA")</f>
        <v/>
      </c>
      <c r="RM5">
        <f>BDS("ESBF US Equity","SUPPLY_CHAIN_SUPPLIERS_FULL_DATA")</f>
        <v/>
      </c>
      <c r="SA5">
        <f>BDS("ESBF US Equity","SUPPLY_CHAIN_CUSTOMERS_FULL_DATA")</f>
        <v/>
      </c>
      <c r="SQ5">
        <f>BDS("CLGX US Equity","SUPPLY_CHAIN_SUPPLIERS_FULL_DATA")</f>
        <v/>
      </c>
      <c r="TE5">
        <f>BDS("CLGX US Equity","SUPPLY_CHAIN_CUSTOMERS_FULL_DATA")</f>
        <v/>
      </c>
      <c r="TU5">
        <f>BDS("PTEN US Equity","SUPPLY_CHAIN_SUPPLIERS_FULL_DATA")</f>
        <v/>
      </c>
      <c r="UI5">
        <f>BDS("PTEN US Equity","SUPPLY_CHAIN_CUSTOMERS_FULL_DATA")</f>
        <v/>
      </c>
      <c r="UY5">
        <f>BDS("ONB US Equity","SUPPLY_CHAIN_SUPPLIERS_FULL_DATA")</f>
        <v/>
      </c>
      <c r="VM5">
        <f>BDS("ONB US Equity","SUPPLY_CHAIN_CUSTOMERS_FULL_DATA")</f>
        <v/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3561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3562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3563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3564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3565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3566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3567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3568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3569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3570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3571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3572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3573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3574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3575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3576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3577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3578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3579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3580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HD US Equity</t>
        </is>
      </c>
      <c r="AE2" s="3" t="inlineStr">
        <is>
          <t>2567699D US Equity</t>
        </is>
      </c>
      <c r="BI2" s="3" t="inlineStr">
        <is>
          <t>1860560D US Equity</t>
        </is>
      </c>
      <c r="CM2" s="3" t="inlineStr">
        <is>
          <t>STJ US Equity</t>
        </is>
      </c>
      <c r="DQ2" s="3" t="inlineStr">
        <is>
          <t>CHTRQ US Equity</t>
        </is>
      </c>
      <c r="EU2" s="3" t="inlineStr">
        <is>
          <t>CGCP US Equity</t>
        </is>
      </c>
      <c r="FY2" s="3" t="inlineStr">
        <is>
          <t>CBSH US Equity</t>
        </is>
      </c>
      <c r="HC2" s="3" t="inlineStr">
        <is>
          <t>MMSI US Equity</t>
        </is>
      </c>
      <c r="IG2" s="3" t="inlineStr">
        <is>
          <t>CBU US Equity</t>
        </is>
      </c>
      <c r="JK2" s="3" t="inlineStr">
        <is>
          <t>2258717D US Equity</t>
        </is>
      </c>
      <c r="KO2" s="3" t="inlineStr">
        <is>
          <t>PSTB US Equity</t>
        </is>
      </c>
      <c r="LS2" s="3" t="inlineStr">
        <is>
          <t>ZBRA US Equity</t>
        </is>
      </c>
      <c r="MW2" s="3" t="inlineStr">
        <is>
          <t>HBEK US Equity</t>
        </is>
      </c>
      <c r="OA2" s="3" t="inlineStr">
        <is>
          <t>CLGX US Equity</t>
        </is>
      </c>
      <c r="PE2" s="3" t="inlineStr">
        <is>
          <t>0852602D US Equity</t>
        </is>
      </c>
      <c r="QI2" s="3" t="inlineStr">
        <is>
          <t>HAIN US Equity</t>
        </is>
      </c>
      <c r="RM2" s="3" t="inlineStr">
        <is>
          <t>2649Q US Equity</t>
        </is>
      </c>
      <c r="SQ2" s="3" t="inlineStr">
        <is>
          <t>MYGN US Equity</t>
        </is>
      </c>
      <c r="TU2" s="3" t="inlineStr">
        <is>
          <t>SPPI US Equity</t>
        </is>
      </c>
      <c r="UY2" s="3" t="inlineStr">
        <is>
          <t>IXX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BDS("HD US Equity","SUPPLY_CHAIN_SUPPLIERS_FULL_DATA")</f>
        <v/>
      </c>
      <c r="O5">
        <f>BDS("HD US Equity","SUPPLY_CHAIN_CUSTOMERS_FULL_DATA")</f>
        <v/>
      </c>
      <c r="AE5">
        <f>BDS("2567699D US Equity","SUPPLY_CHAIN_SUPPLIERS_FULL_DATA")</f>
        <v/>
      </c>
      <c r="AS5">
        <f>BDS("2567699D US Equity","SUPPLY_CHAIN_CUSTOMERS_FULL_DATA")</f>
        <v/>
      </c>
      <c r="BI5">
        <f>BDS("1860560D US Equity","SUPPLY_CHAIN_SUPPLIERS_FULL_DATA")</f>
        <v/>
      </c>
      <c r="BW5">
        <f>BDS("1860560D US Equity","SUPPLY_CHAIN_CUSTOMERS_FULL_DATA")</f>
        <v/>
      </c>
      <c r="CM5">
        <f>BDS("STJ US Equity","SUPPLY_CHAIN_SUPPLIERS_FULL_DATA")</f>
        <v/>
      </c>
      <c r="DA5">
        <f>BDS("STJ US Equity","SUPPLY_CHAIN_CUSTOMERS_FULL_DATA")</f>
        <v/>
      </c>
      <c r="DQ5">
        <f>BDS("CHTRQ US Equity","SUPPLY_CHAIN_SUPPLIERS_FULL_DATA")</f>
        <v/>
      </c>
      <c r="EE5">
        <f>BDS("CHTRQ US Equity","SUPPLY_CHAIN_CUSTOMERS_FULL_DATA")</f>
        <v/>
      </c>
      <c r="EU5">
        <f>BDS("CGCP US Equity","SUPPLY_CHAIN_SUPPLIERS_FULL_DATA")</f>
        <v/>
      </c>
      <c r="FI5">
        <f>BDS("CGCP US Equity","SUPPLY_CHAIN_CUSTOMERS_FULL_DATA")</f>
        <v/>
      </c>
      <c r="FY5">
        <f>BDS("CBSH US Equity","SUPPLY_CHAIN_SUPPLIERS_FULL_DATA")</f>
        <v/>
      </c>
      <c r="GM5">
        <f>BDS("CBSH US Equity","SUPPLY_CHAIN_CUSTOMERS_FULL_DATA")</f>
        <v/>
      </c>
      <c r="HC5">
        <f>BDS("MMSI US Equity","SUPPLY_CHAIN_SUPPLIERS_FULL_DATA")</f>
        <v/>
      </c>
      <c r="HQ5">
        <f>BDS("MMSI US Equity","SUPPLY_CHAIN_CUSTOMERS_FULL_DATA")</f>
        <v/>
      </c>
      <c r="IG5">
        <f>BDS("CBU US Equity","SUPPLY_CHAIN_SUPPLIERS_FULL_DATA")</f>
        <v/>
      </c>
      <c r="IU5">
        <f>BDS("CBU US Equity","SUPPLY_CHAIN_CUSTOMERS_FULL_DATA")</f>
        <v/>
      </c>
      <c r="JK5">
        <f>BDS("2258717D US Equity","SUPPLY_CHAIN_SUPPLIERS_FULL_DATA")</f>
        <v/>
      </c>
      <c r="JY5">
        <f>BDS("2258717D US Equity","SUPPLY_CHAIN_CUSTOMERS_FULL_DATA")</f>
        <v/>
      </c>
      <c r="KO5">
        <f>BDS("PSTB US Equity","SUPPLY_CHAIN_SUPPLIERS_FULL_DATA")</f>
        <v/>
      </c>
      <c r="LC5">
        <f>BDS("PSTB US Equity","SUPPLY_CHAIN_CUSTOMERS_FULL_DATA")</f>
        <v/>
      </c>
      <c r="LS5">
        <f>BDS("ZBRA US Equity","SUPPLY_CHAIN_SUPPLIERS_FULL_DATA")</f>
        <v/>
      </c>
      <c r="MG5">
        <f>BDS("ZBRA US Equity","SUPPLY_CHAIN_CUSTOMERS_FULL_DATA")</f>
        <v/>
      </c>
      <c r="MW5">
        <f>BDS("HBEK US Equity","SUPPLY_CHAIN_SUPPLIERS_FULL_DATA")</f>
        <v/>
      </c>
      <c r="NK5">
        <f>BDS("HBEK US Equity","SUPPLY_CHAIN_CUSTOMERS_FULL_DATA")</f>
        <v/>
      </c>
      <c r="OA5">
        <f>BDS("CLGX US Equity","SUPPLY_CHAIN_SUPPLIERS_FULL_DATA")</f>
        <v/>
      </c>
      <c r="OO5">
        <f>BDS("CLGX US Equity","SUPPLY_CHAIN_CUSTOMERS_FULL_DATA")</f>
        <v/>
      </c>
      <c r="PE5">
        <f>BDS("0852602D US Equity","SUPPLY_CHAIN_SUPPLIERS_FULL_DATA")</f>
        <v/>
      </c>
      <c r="PS5">
        <f>BDS("0852602D US Equity","SUPPLY_CHAIN_CUSTOMERS_FULL_DATA")</f>
        <v/>
      </c>
      <c r="QI5">
        <f>BDS("HAIN US Equity","SUPPLY_CHAIN_SUPPLIERS_FULL_DATA")</f>
        <v/>
      </c>
      <c r="QW5">
        <f>BDS("HAIN US Equity","SUPPLY_CHAIN_CUSTOMERS_FULL_DATA")</f>
        <v/>
      </c>
      <c r="RM5">
        <f>BDS("2649Q US Equity","SUPPLY_CHAIN_SUPPLIERS_FULL_DATA")</f>
        <v/>
      </c>
      <c r="SA5">
        <f>BDS("2649Q US Equity","SUPPLY_CHAIN_CUSTOMERS_FULL_DATA")</f>
        <v/>
      </c>
      <c r="SQ5">
        <f>BDS("MYGN US Equity","SUPPLY_CHAIN_SUPPLIERS_FULL_DATA")</f>
        <v/>
      </c>
      <c r="TE5">
        <f>BDS("MYGN US Equity","SUPPLY_CHAIN_CUSTOMERS_FULL_DATA")</f>
        <v/>
      </c>
      <c r="TU5">
        <f>BDS("SPPI US Equity","SUPPLY_CHAIN_SUPPLIERS_FULL_DATA")</f>
        <v/>
      </c>
      <c r="UI5">
        <f>BDS("SPPI US Equity","SUPPLY_CHAIN_CUSTOMERS_FULL_DATA")</f>
        <v/>
      </c>
      <c r="UY5">
        <f>BDS("IXX US Equity","SUPPLY_CHAIN_SUPPLIERS_FULL_DATA")</f>
        <v/>
      </c>
      <c r="VM5">
        <f>BDS("IXX US Equity","SUPPLY_CHAIN_CUSTOMERS_FULL_DATA")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3581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3582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3583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3584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3585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3586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3587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3588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3589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3590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3591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3592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3593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3594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3595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3596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3597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3598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3599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3600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SOHO US Equity</t>
        </is>
      </c>
      <c r="AE2" s="3" t="inlineStr">
        <is>
          <t>FNB US Equity</t>
        </is>
      </c>
      <c r="BI2" s="3" t="inlineStr">
        <is>
          <t>373937Q US Equity</t>
        </is>
      </c>
      <c r="CM2" s="3" t="inlineStr">
        <is>
          <t>ENOC US Equity</t>
        </is>
      </c>
      <c r="DQ2" s="3" t="inlineStr">
        <is>
          <t>CBU US Equity</t>
        </is>
      </c>
      <c r="EU2" s="3" t="inlineStr">
        <is>
          <t>FINN US Equity</t>
        </is>
      </c>
      <c r="FY2" s="3" t="inlineStr">
        <is>
          <t>FDBC US Equity</t>
        </is>
      </c>
      <c r="HC2" s="3" t="inlineStr">
        <is>
          <t>CHD US Equity</t>
        </is>
      </c>
      <c r="IG2" s="3" t="inlineStr">
        <is>
          <t>BBT US Equity</t>
        </is>
      </c>
      <c r="JK2" s="3" t="inlineStr">
        <is>
          <t>MENT US Equity</t>
        </is>
      </c>
      <c r="KO2" s="3" t="inlineStr">
        <is>
          <t>ON US Equity</t>
        </is>
      </c>
      <c r="LS2" s="3" t="inlineStr">
        <is>
          <t>FITB US Equity</t>
        </is>
      </c>
      <c r="MW2" s="3" t="inlineStr">
        <is>
          <t>PNWB US Equity</t>
        </is>
      </c>
      <c r="OA2" s="3" t="inlineStr">
        <is>
          <t>STBZ US Equity</t>
        </is>
      </c>
      <c r="PE2" s="3" t="inlineStr">
        <is>
          <t>LAMR US Equity</t>
        </is>
      </c>
      <c r="QI2" s="3" t="inlineStr">
        <is>
          <t>FBNC US Equity</t>
        </is>
      </c>
      <c r="RM2" s="3" t="inlineStr">
        <is>
          <t>ONB US Equity</t>
        </is>
      </c>
      <c r="SQ2" s="3" t="inlineStr">
        <is>
          <t>FNFG US Equity</t>
        </is>
      </c>
      <c r="TU2" s="3" t="inlineStr">
        <is>
          <t>OAKT US Equity</t>
        </is>
      </c>
      <c r="UY2" s="3" t="inlineStr">
        <is>
          <t>PRMW CN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BDS("SOHO US Equity","SUPPLY_CHAIN_SUPPLIERS_FULL_DATA")</f>
        <v/>
      </c>
      <c r="O5">
        <f>BDS("SOHO US Equity","SUPPLY_CHAIN_CUSTOMERS_FULL_DATA")</f>
        <v/>
      </c>
      <c r="AE5">
        <f>BDS("FNB US Equity","SUPPLY_CHAIN_SUPPLIERS_FULL_DATA")</f>
        <v/>
      </c>
      <c r="AS5">
        <f>BDS("FNB US Equity","SUPPLY_CHAIN_CUSTOMERS_FULL_DATA")</f>
        <v/>
      </c>
      <c r="BI5">
        <f>BDS("373937Q US Equity","SUPPLY_CHAIN_SUPPLIERS_FULL_DATA")</f>
        <v/>
      </c>
      <c r="BW5">
        <f>BDS("373937Q US Equity","SUPPLY_CHAIN_CUSTOMERS_FULL_DATA")</f>
        <v/>
      </c>
      <c r="CM5">
        <f>BDS("ENOC US Equity","SUPPLY_CHAIN_SUPPLIERS_FULL_DATA")</f>
        <v/>
      </c>
      <c r="DA5">
        <f>BDS("ENOC US Equity","SUPPLY_CHAIN_CUSTOMERS_FULL_DATA")</f>
        <v/>
      </c>
      <c r="DQ5">
        <f>BDS("CBU US Equity","SUPPLY_CHAIN_SUPPLIERS_FULL_DATA")</f>
        <v/>
      </c>
      <c r="EE5">
        <f>BDS("CBU US Equity","SUPPLY_CHAIN_CUSTOMERS_FULL_DATA")</f>
        <v/>
      </c>
      <c r="EU5">
        <f>BDS("FINN US Equity","SUPPLY_CHAIN_SUPPLIERS_FULL_DATA")</f>
        <v/>
      </c>
      <c r="FI5">
        <f>BDS("FINN US Equity","SUPPLY_CHAIN_CUSTOMERS_FULL_DATA")</f>
        <v/>
      </c>
      <c r="FY5">
        <f>BDS("FDBC US Equity","SUPPLY_CHAIN_SUPPLIERS_FULL_DATA")</f>
        <v/>
      </c>
      <c r="GM5">
        <f>BDS("FDBC US Equity","SUPPLY_CHAIN_CUSTOMERS_FULL_DATA")</f>
        <v/>
      </c>
      <c r="HC5">
        <f>BDS("CHD US Equity","SUPPLY_CHAIN_SUPPLIERS_FULL_DATA")</f>
        <v/>
      </c>
      <c r="HQ5">
        <f>BDS("CHD US Equity","SUPPLY_CHAIN_CUSTOMERS_FULL_DATA")</f>
        <v/>
      </c>
      <c r="IG5">
        <f>BDS("BBT US Equity","SUPPLY_CHAIN_SUPPLIERS_FULL_DATA")</f>
        <v/>
      </c>
      <c r="IU5">
        <f>BDS("BBT US Equity","SUPPLY_CHAIN_CUSTOMERS_FULL_DATA")</f>
        <v/>
      </c>
      <c r="JK5">
        <f>BDS("MENT US Equity","SUPPLY_CHAIN_SUPPLIERS_FULL_DATA")</f>
        <v/>
      </c>
      <c r="JY5">
        <f>BDS("MENT US Equity","SUPPLY_CHAIN_CUSTOMERS_FULL_DATA")</f>
        <v/>
      </c>
      <c r="KO5">
        <f>BDS("ON US Equity","SUPPLY_CHAIN_SUPPLIERS_FULL_DATA")</f>
        <v/>
      </c>
      <c r="LC5">
        <f>BDS("ON US Equity","SUPPLY_CHAIN_CUSTOMERS_FULL_DATA")</f>
        <v/>
      </c>
      <c r="LS5">
        <f>BDS("FITB US Equity","SUPPLY_CHAIN_SUPPLIERS_FULL_DATA")</f>
        <v/>
      </c>
      <c r="MG5">
        <f>BDS("FITB US Equity","SUPPLY_CHAIN_CUSTOMERS_FULL_DATA")</f>
        <v/>
      </c>
      <c r="MW5">
        <f>BDS("PNWB US Equity","SUPPLY_CHAIN_SUPPLIERS_FULL_DATA")</f>
        <v/>
      </c>
      <c r="NK5">
        <f>BDS("PNWB US Equity","SUPPLY_CHAIN_CUSTOMERS_FULL_DATA")</f>
        <v/>
      </c>
      <c r="OA5">
        <f>BDS("STBZ US Equity","SUPPLY_CHAIN_SUPPLIERS_FULL_DATA")</f>
        <v/>
      </c>
      <c r="OO5">
        <f>BDS("STBZ US Equity","SUPPLY_CHAIN_CUSTOMERS_FULL_DATA")</f>
        <v/>
      </c>
      <c r="PE5">
        <f>BDS("LAMR US Equity","SUPPLY_CHAIN_SUPPLIERS_FULL_DATA")</f>
        <v/>
      </c>
      <c r="PS5">
        <f>BDS("LAMR US Equity","SUPPLY_CHAIN_CUSTOMERS_FULL_DATA")</f>
        <v/>
      </c>
      <c r="QI5">
        <f>BDS("FBNC US Equity","SUPPLY_CHAIN_SUPPLIERS_FULL_DATA")</f>
        <v/>
      </c>
      <c r="QW5">
        <f>BDS("FBNC US Equity","SUPPLY_CHAIN_CUSTOMERS_FULL_DATA")</f>
        <v/>
      </c>
      <c r="RM5">
        <f>BDS("ONB US Equity","SUPPLY_CHAIN_SUPPLIERS_FULL_DATA")</f>
        <v/>
      </c>
      <c r="SA5">
        <f>BDS("ONB US Equity","SUPPLY_CHAIN_CUSTOMERS_FULL_DATA")</f>
        <v/>
      </c>
      <c r="SQ5">
        <f>BDS("FNFG US Equity","SUPPLY_CHAIN_SUPPLIERS_FULL_DATA")</f>
        <v/>
      </c>
      <c r="TE5">
        <f>BDS("FNFG US Equity","SUPPLY_CHAIN_CUSTOMERS_FULL_DATA")</f>
        <v/>
      </c>
      <c r="TU5">
        <f>BDS("OAKT US Equity","SUPPLY_CHAIN_SUPPLIERS_FULL_DATA")</f>
        <v/>
      </c>
      <c r="UI5">
        <f>BDS("OAKT US Equity","SUPPLY_CHAIN_CUSTOMERS_FULL_DATA")</f>
        <v/>
      </c>
      <c r="UY5">
        <f>BDS("PRMW CN Equity","SUPPLY_CHAIN_SUPPLIERS_FULL_DATA")</f>
        <v/>
      </c>
      <c r="VM5">
        <f>BDS("PRMW CN Equity","SUPPLY_CHAIN_CUSTOMERS_FULL_DATA")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3601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3602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3603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3604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3605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3606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3607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3608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3609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3610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3611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3612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3613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3614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3615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3616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3617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3618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3619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3620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GWR US Equity</t>
        </is>
      </c>
      <c r="AE2" s="3" t="inlineStr">
        <is>
          <t>1779128D US Equity</t>
        </is>
      </c>
      <c r="BI2" s="3" t="inlineStr">
        <is>
          <t>FMBH US Equity</t>
        </is>
      </c>
      <c r="CM2" s="3" t="inlineStr">
        <is>
          <t>MOG/A US Equity</t>
        </is>
      </c>
      <c r="DQ2" s="3" t="inlineStr">
        <is>
          <t>UPS US Equity</t>
        </is>
      </c>
      <c r="EU2" s="3" t="inlineStr">
        <is>
          <t>VYX US Equity</t>
        </is>
      </c>
      <c r="FY2" s="3" t="inlineStr">
        <is>
          <t>ONB US Equity</t>
        </is>
      </c>
      <c r="HC2" s="3" t="inlineStr">
        <is>
          <t>KTO US Equity</t>
        </is>
      </c>
      <c r="IG2" s="3" t="inlineStr">
        <is>
          <t>CMKC US Equity</t>
        </is>
      </c>
      <c r="JK2" s="3" t="inlineStr">
        <is>
          <t>1806854D US Equity</t>
        </is>
      </c>
      <c r="KO2" s="3" t="inlineStr">
        <is>
          <t>MPB US Equity</t>
        </is>
      </c>
      <c r="LS2" s="3" t="inlineStr">
        <is>
          <t>ZRAN US Equity</t>
        </is>
      </c>
      <c r="MW2" s="3" t="inlineStr">
        <is>
          <t>GBCI US Equity</t>
        </is>
      </c>
      <c r="OA2" s="3" t="inlineStr">
        <is>
          <t>USX US Equity</t>
        </is>
      </c>
      <c r="PE2" s="3" t="inlineStr">
        <is>
          <t>FNB US Equity</t>
        </is>
      </c>
      <c r="QI2" s="3" t="inlineStr">
        <is>
          <t>SNV US Equity</t>
        </is>
      </c>
      <c r="RM2" s="3" t="inlineStr">
        <is>
          <t>NIC US Equity</t>
        </is>
      </c>
      <c r="SQ2" s="3" t="inlineStr">
        <is>
          <t>IBKC US Equity</t>
        </is>
      </c>
      <c r="TU2" s="3" t="inlineStr">
        <is>
          <t>1255173D US Equity</t>
        </is>
      </c>
      <c r="UY2" s="3" t="inlineStr">
        <is>
          <t>UNP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BDS("GWR US Equity","SUPPLY_CHAIN_SUPPLIERS_FULL_DATA")</f>
        <v/>
      </c>
      <c r="O5">
        <f>BDS("GWR US Equity","SUPPLY_CHAIN_CUSTOMERS_FULL_DATA")</f>
        <v/>
      </c>
      <c r="AE5">
        <f>BDS("1779128D US Equity","SUPPLY_CHAIN_SUPPLIERS_FULL_DATA")</f>
        <v/>
      </c>
      <c r="AS5">
        <f>BDS("1779128D US Equity","SUPPLY_CHAIN_CUSTOMERS_FULL_DATA")</f>
        <v/>
      </c>
      <c r="BI5">
        <f>BDS("FMBH US Equity","SUPPLY_CHAIN_SUPPLIERS_FULL_DATA")</f>
        <v/>
      </c>
      <c r="BW5">
        <f>BDS("FMBH US Equity","SUPPLY_CHAIN_CUSTOMERS_FULL_DATA")</f>
        <v/>
      </c>
      <c r="CM5">
        <f>BDS("MOG/A US Equity","SUPPLY_CHAIN_SUPPLIERS_FULL_DATA")</f>
        <v/>
      </c>
      <c r="DA5">
        <f>BDS("MOG/A US Equity","SUPPLY_CHAIN_CUSTOMERS_FULL_DATA")</f>
        <v/>
      </c>
      <c r="DQ5">
        <f>BDS("UPS US Equity","SUPPLY_CHAIN_SUPPLIERS_FULL_DATA")</f>
        <v/>
      </c>
      <c r="EE5">
        <f>BDS("UPS US Equity","SUPPLY_CHAIN_CUSTOMERS_FULL_DATA")</f>
        <v/>
      </c>
      <c r="EU5">
        <f>BDS("VYX US Equity","SUPPLY_CHAIN_SUPPLIERS_FULL_DATA")</f>
        <v/>
      </c>
      <c r="FI5">
        <f>BDS("VYX US Equity","SUPPLY_CHAIN_CUSTOMERS_FULL_DATA")</f>
        <v/>
      </c>
      <c r="FY5">
        <f>BDS("ONB US Equity","SUPPLY_CHAIN_SUPPLIERS_FULL_DATA")</f>
        <v/>
      </c>
      <c r="GM5">
        <f>BDS("ONB US Equity","SUPPLY_CHAIN_CUSTOMERS_FULL_DATA")</f>
        <v/>
      </c>
      <c r="HC5">
        <f>BDS("KTO US Equity","SUPPLY_CHAIN_SUPPLIERS_FULL_DATA")</f>
        <v/>
      </c>
      <c r="HQ5">
        <f>BDS("KTO US Equity","SUPPLY_CHAIN_CUSTOMERS_FULL_DATA")</f>
        <v/>
      </c>
      <c r="IG5">
        <f>BDS("CMKC US Equity","SUPPLY_CHAIN_SUPPLIERS_FULL_DATA")</f>
        <v/>
      </c>
      <c r="IU5">
        <f>BDS("CMKC US Equity","SUPPLY_CHAIN_CUSTOMERS_FULL_DATA")</f>
        <v/>
      </c>
      <c r="JK5">
        <f>BDS("1806854D US Equity","SUPPLY_CHAIN_SUPPLIERS_FULL_DATA")</f>
        <v/>
      </c>
      <c r="JY5">
        <f>BDS("1806854D US Equity","SUPPLY_CHAIN_CUSTOMERS_FULL_DATA")</f>
        <v/>
      </c>
      <c r="KO5">
        <f>BDS("MPB US Equity","SUPPLY_CHAIN_SUPPLIERS_FULL_DATA")</f>
        <v/>
      </c>
      <c r="LC5">
        <f>BDS("MPB US Equity","SUPPLY_CHAIN_CUSTOMERS_FULL_DATA")</f>
        <v/>
      </c>
      <c r="LS5">
        <f>BDS("ZRAN US Equity","SUPPLY_CHAIN_SUPPLIERS_FULL_DATA")</f>
        <v/>
      </c>
      <c r="MG5">
        <f>BDS("ZRAN US Equity","SUPPLY_CHAIN_CUSTOMERS_FULL_DATA")</f>
        <v/>
      </c>
      <c r="MW5">
        <f>BDS("GBCI US Equity","SUPPLY_CHAIN_SUPPLIERS_FULL_DATA")</f>
        <v/>
      </c>
      <c r="NK5">
        <f>BDS("GBCI US Equity","SUPPLY_CHAIN_CUSTOMERS_FULL_DATA")</f>
        <v/>
      </c>
      <c r="OA5">
        <f>BDS("USX US Equity","SUPPLY_CHAIN_SUPPLIERS_FULL_DATA")</f>
        <v/>
      </c>
      <c r="OO5">
        <f>BDS("USX US Equity","SUPPLY_CHAIN_CUSTOMERS_FULL_DATA")</f>
        <v/>
      </c>
      <c r="PE5">
        <f>BDS("FNB US Equity","SUPPLY_CHAIN_SUPPLIERS_FULL_DATA")</f>
        <v/>
      </c>
      <c r="PS5">
        <f>BDS("FNB US Equity","SUPPLY_CHAIN_CUSTOMERS_FULL_DATA")</f>
        <v/>
      </c>
      <c r="QI5">
        <f>BDS("SNV US Equity","SUPPLY_CHAIN_SUPPLIERS_FULL_DATA")</f>
        <v/>
      </c>
      <c r="QW5">
        <f>BDS("SNV US Equity","SUPPLY_CHAIN_CUSTOMERS_FULL_DATA")</f>
        <v/>
      </c>
      <c r="RM5">
        <f>BDS("NIC US Equity","SUPPLY_CHAIN_SUPPLIERS_FULL_DATA")</f>
        <v/>
      </c>
      <c r="SA5">
        <f>BDS("NIC US Equity","SUPPLY_CHAIN_CUSTOMERS_FULL_DATA")</f>
        <v/>
      </c>
      <c r="SQ5">
        <f>BDS("IBKC US Equity","SUPPLY_CHAIN_SUPPLIERS_FULL_DATA")</f>
        <v/>
      </c>
      <c r="TE5">
        <f>BDS("IBKC US Equity","SUPPLY_CHAIN_CUSTOMERS_FULL_DATA")</f>
        <v/>
      </c>
      <c r="TU5">
        <f>BDS("1255173D US Equity","SUPPLY_CHAIN_SUPPLIERS_FULL_DATA")</f>
        <v/>
      </c>
      <c r="UI5">
        <f>BDS("1255173D US Equity","SUPPLY_CHAIN_CUSTOMERS_FULL_DATA")</f>
        <v/>
      </c>
      <c r="UY5">
        <f>BDS("UNP US Equity","SUPPLY_CHAIN_SUPPLIERS_FULL_DATA")</f>
        <v/>
      </c>
      <c r="VM5">
        <f>BDS("UNP US Equity","SUPPLY_CHAIN_CUSTOMERS_FULL_DATA")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3621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3622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3623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3624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3625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3626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3627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3628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3629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3630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3631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3632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3633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3634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3635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3636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3637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3638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3639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3640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MATW US Equity</t>
        </is>
      </c>
      <c r="AE2" s="3" t="inlineStr">
        <is>
          <t>SCMF US Equity</t>
        </is>
      </c>
      <c r="BI2" s="3" t="inlineStr">
        <is>
          <t>BBT US Equity</t>
        </is>
      </c>
      <c r="CM2" s="3" t="inlineStr">
        <is>
          <t>GADS US Equity</t>
        </is>
      </c>
      <c r="DQ2" s="3" t="inlineStr">
        <is>
          <t>WSBC US Equity</t>
        </is>
      </c>
      <c r="EU2" s="3" t="inlineStr">
        <is>
          <t>PLXS US Equity</t>
        </is>
      </c>
      <c r="FY2" s="3" t="inlineStr">
        <is>
          <t>EW US Equity</t>
        </is>
      </c>
      <c r="HC2" s="3" t="inlineStr">
        <is>
          <t>FSBW US Equity</t>
        </is>
      </c>
      <c r="IG2" s="3" t="inlineStr">
        <is>
          <t>FPFCQ US Equity</t>
        </is>
      </c>
      <c r="JK2" s="3" t="inlineStr">
        <is>
          <t>ESC US Equity</t>
        </is>
      </c>
      <c r="KO2" s="3" t="inlineStr">
        <is>
          <t>SBAN US Equity</t>
        </is>
      </c>
      <c r="LS2" s="3" t="inlineStr">
        <is>
          <t>2674129Q US Equity</t>
        </is>
      </c>
      <c r="MW2" s="3" t="inlineStr">
        <is>
          <t>FMFC US Equity</t>
        </is>
      </c>
      <c r="OA2" s="3" t="inlineStr">
        <is>
          <t>9980328D US Equity</t>
        </is>
      </c>
      <c r="PE2" s="3" t="inlineStr">
        <is>
          <t>AMG US Equity</t>
        </is>
      </c>
      <c r="QI2" s="3" t="inlineStr">
        <is>
          <t>OEI US Equity</t>
        </is>
      </c>
      <c r="RM2" s="3" t="inlineStr">
        <is>
          <t>PERY US Equity</t>
        </is>
      </c>
      <c r="SQ2" s="3" t="inlineStr">
        <is>
          <t>WDR US Equity</t>
        </is>
      </c>
      <c r="TU2" s="3" t="inlineStr">
        <is>
          <t>nan Equity</t>
        </is>
      </c>
      <c r="UY2" s="3" t="inlineStr">
        <is>
          <t>153550Q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BDS("MATW US Equity","SUPPLY_CHAIN_SUPPLIERS_FULL_DATA")</f>
        <v/>
      </c>
      <c r="O5">
        <f>BDS("MATW US Equity","SUPPLY_CHAIN_CUSTOMERS_FULL_DATA")</f>
        <v/>
      </c>
      <c r="AE5">
        <f>BDS("SCMF US Equity","SUPPLY_CHAIN_SUPPLIERS_FULL_DATA")</f>
        <v/>
      </c>
      <c r="AS5">
        <f>BDS("SCMF US Equity","SUPPLY_CHAIN_CUSTOMERS_FULL_DATA")</f>
        <v/>
      </c>
      <c r="BI5">
        <f>BDS("BBT US Equity","SUPPLY_CHAIN_SUPPLIERS_FULL_DATA")</f>
        <v/>
      </c>
      <c r="BW5">
        <f>BDS("BBT US Equity","SUPPLY_CHAIN_CUSTOMERS_FULL_DATA")</f>
        <v/>
      </c>
      <c r="CM5">
        <f>BDS("GADS US Equity","SUPPLY_CHAIN_SUPPLIERS_FULL_DATA")</f>
        <v/>
      </c>
      <c r="DA5">
        <f>BDS("GADS US Equity","SUPPLY_CHAIN_CUSTOMERS_FULL_DATA")</f>
        <v/>
      </c>
      <c r="DQ5">
        <f>BDS("WSBC US Equity","SUPPLY_CHAIN_SUPPLIERS_FULL_DATA")</f>
        <v/>
      </c>
      <c r="EE5">
        <f>BDS("WSBC US Equity","SUPPLY_CHAIN_CUSTOMERS_FULL_DATA")</f>
        <v/>
      </c>
      <c r="EU5">
        <f>BDS("PLXS US Equity","SUPPLY_CHAIN_SUPPLIERS_FULL_DATA")</f>
        <v/>
      </c>
      <c r="FI5">
        <f>BDS("PLXS US Equity","SUPPLY_CHAIN_CUSTOMERS_FULL_DATA")</f>
        <v/>
      </c>
      <c r="FY5">
        <f>BDS("EW US Equity","SUPPLY_CHAIN_SUPPLIERS_FULL_DATA")</f>
        <v/>
      </c>
      <c r="GM5">
        <f>BDS("EW US Equity","SUPPLY_CHAIN_CUSTOMERS_FULL_DATA")</f>
        <v/>
      </c>
      <c r="HC5">
        <f>BDS("FSBW US Equity","SUPPLY_CHAIN_SUPPLIERS_FULL_DATA")</f>
        <v/>
      </c>
      <c r="HQ5">
        <f>BDS("FSBW US Equity","SUPPLY_CHAIN_CUSTOMERS_FULL_DATA")</f>
        <v/>
      </c>
      <c r="IG5">
        <f>BDS("FPFCQ US Equity","SUPPLY_CHAIN_SUPPLIERS_FULL_DATA")</f>
        <v/>
      </c>
      <c r="IU5">
        <f>BDS("FPFCQ US Equity","SUPPLY_CHAIN_CUSTOMERS_FULL_DATA")</f>
        <v/>
      </c>
      <c r="JK5">
        <f>BDS("ESC US Equity","SUPPLY_CHAIN_SUPPLIERS_FULL_DATA")</f>
        <v/>
      </c>
      <c r="JY5">
        <f>BDS("ESC US Equity","SUPPLY_CHAIN_CUSTOMERS_FULL_DATA")</f>
        <v/>
      </c>
      <c r="KO5">
        <f>BDS("SBAN US Equity","SUPPLY_CHAIN_SUPPLIERS_FULL_DATA")</f>
        <v/>
      </c>
      <c r="LC5">
        <f>BDS("SBAN US Equity","SUPPLY_CHAIN_CUSTOMERS_FULL_DATA")</f>
        <v/>
      </c>
      <c r="LS5">
        <f>BDS("2674129Q US Equity","SUPPLY_CHAIN_SUPPLIERS_FULL_DATA")</f>
        <v/>
      </c>
      <c r="MG5">
        <f>BDS("2674129Q US Equity","SUPPLY_CHAIN_CUSTOMERS_FULL_DATA")</f>
        <v/>
      </c>
      <c r="MW5">
        <f>BDS("FMFC US Equity","SUPPLY_CHAIN_SUPPLIERS_FULL_DATA")</f>
        <v/>
      </c>
      <c r="NK5">
        <f>BDS("FMFC US Equity","SUPPLY_CHAIN_CUSTOMERS_FULL_DATA")</f>
        <v/>
      </c>
      <c r="OA5">
        <f>BDS("9980328D US Equity","SUPPLY_CHAIN_SUPPLIERS_FULL_DATA")</f>
        <v/>
      </c>
      <c r="OO5">
        <f>BDS("9980328D US Equity","SUPPLY_CHAIN_CUSTOMERS_FULL_DATA")</f>
        <v/>
      </c>
      <c r="PE5">
        <f>BDS("AMG US Equity","SUPPLY_CHAIN_SUPPLIERS_FULL_DATA")</f>
        <v/>
      </c>
      <c r="PS5">
        <f>BDS("AMG US Equity","SUPPLY_CHAIN_CUSTOMERS_FULL_DATA")</f>
        <v/>
      </c>
      <c r="QI5">
        <f>BDS("OEI US Equity","SUPPLY_CHAIN_SUPPLIERS_FULL_DATA")</f>
        <v/>
      </c>
      <c r="QW5">
        <f>BDS("OEI US Equity","SUPPLY_CHAIN_CUSTOMERS_FULL_DATA")</f>
        <v/>
      </c>
      <c r="RM5">
        <f>BDS("PERY US Equity","SUPPLY_CHAIN_SUPPLIERS_FULL_DATA")</f>
        <v/>
      </c>
      <c r="SA5">
        <f>BDS("PERY US Equity","SUPPLY_CHAIN_CUSTOMERS_FULL_DATA")</f>
        <v/>
      </c>
      <c r="SQ5">
        <f>BDS("WDR US Equity","SUPPLY_CHAIN_SUPPLIERS_FULL_DATA")</f>
        <v/>
      </c>
      <c r="TE5">
        <f>BDS("WDR US Equity","SUPPLY_CHAIN_CUSTOMERS_FULL_DATA")</f>
        <v/>
      </c>
      <c r="TU5">
        <f>BDS("nan Equity","SUPPLY_CHAIN_SUPPLIERS_FULL_DATA")</f>
        <v/>
      </c>
      <c r="UI5">
        <f>BDS("nan Equity","SUPPLY_CHAIN_CUSTOMERS_FULL_DATA")</f>
        <v/>
      </c>
      <c r="UY5">
        <f>BDS("153550Q US Equity","SUPPLY_CHAIN_SUPPLIERS_FULL_DATA")</f>
        <v/>
      </c>
      <c r="VM5">
        <f>BDS("153550Q US Equity","SUPPLY_CHAIN_CUSTOMERS_FULL_DATA")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3641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3642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3643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3644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3645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3646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3647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3648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3649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3650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3651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3652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3653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3654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3655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3656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3657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3658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3659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3660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679882Q US Equity</t>
        </is>
      </c>
      <c r="AE2" s="3" t="inlineStr">
        <is>
          <t>IBM US Equity</t>
        </is>
      </c>
      <c r="BI2" s="3" t="inlineStr">
        <is>
          <t>SPH US Equity</t>
        </is>
      </c>
      <c r="CM2" s="3" t="inlineStr">
        <is>
          <t>IVZ US Equity</t>
        </is>
      </c>
      <c r="DQ2" s="3" t="inlineStr">
        <is>
          <t>SYRS US Equity</t>
        </is>
      </c>
      <c r="EU2" s="3" t="inlineStr">
        <is>
          <t>JNJ US Equity</t>
        </is>
      </c>
      <c r="FY2" s="3" t="inlineStr">
        <is>
          <t>FPFCQ US Equity</t>
        </is>
      </c>
      <c r="HC2" s="3" t="inlineStr">
        <is>
          <t>CBRI US Equity</t>
        </is>
      </c>
      <c r="IG2" s="3" t="inlineStr">
        <is>
          <t>OAK US Equity</t>
        </is>
      </c>
      <c r="JK2" s="3" t="inlineStr">
        <is>
          <t>BOFLQ US Equity</t>
        </is>
      </c>
      <c r="KO2" s="3" t="inlineStr">
        <is>
          <t>CHCO US Equity</t>
        </is>
      </c>
      <c r="LS2" s="3" t="inlineStr">
        <is>
          <t>FBMS US Equity</t>
        </is>
      </c>
      <c r="MW2" s="3" t="inlineStr">
        <is>
          <t>HBNC US Equity</t>
        </is>
      </c>
      <c r="OA2" s="3" t="inlineStr">
        <is>
          <t>953386Q US Equity</t>
        </is>
      </c>
      <c r="PE2" s="3" t="inlineStr">
        <is>
          <t>MNR US Equity</t>
        </is>
      </c>
      <c r="QI2" s="3" t="inlineStr">
        <is>
          <t>HBNC US Equity</t>
        </is>
      </c>
      <c r="RM2" s="3" t="inlineStr">
        <is>
          <t>PLA US Equity</t>
        </is>
      </c>
      <c r="SQ2" s="3" t="inlineStr">
        <is>
          <t>TDG US Equity</t>
        </is>
      </c>
      <c r="TU2" s="3" t="inlineStr">
        <is>
          <t>MRCY US Equity</t>
        </is>
      </c>
      <c r="UY2" s="3" t="inlineStr">
        <is>
          <t>1911768D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BDS("679882Q US Equity","SUPPLY_CHAIN_SUPPLIERS_FULL_DATA")</f>
        <v/>
      </c>
      <c r="O5">
        <f>BDS("679882Q US Equity","SUPPLY_CHAIN_CUSTOMERS_FULL_DATA")</f>
        <v/>
      </c>
      <c r="AE5">
        <f>BDS("IBM US Equity","SUPPLY_CHAIN_SUPPLIERS_FULL_DATA")</f>
        <v/>
      </c>
      <c r="AS5">
        <f>BDS("IBM US Equity","SUPPLY_CHAIN_CUSTOMERS_FULL_DATA")</f>
        <v/>
      </c>
      <c r="BI5">
        <f>BDS("SPH US Equity","SUPPLY_CHAIN_SUPPLIERS_FULL_DATA")</f>
        <v/>
      </c>
      <c r="BW5">
        <f>BDS("SPH US Equity","SUPPLY_CHAIN_CUSTOMERS_FULL_DATA")</f>
        <v/>
      </c>
      <c r="CM5">
        <f>BDS("IVZ US Equity","SUPPLY_CHAIN_SUPPLIERS_FULL_DATA")</f>
        <v/>
      </c>
      <c r="DA5">
        <f>BDS("IVZ US Equity","SUPPLY_CHAIN_CUSTOMERS_FULL_DATA")</f>
        <v/>
      </c>
      <c r="DQ5">
        <f>BDS("SYRS US Equity","SUPPLY_CHAIN_SUPPLIERS_FULL_DATA")</f>
        <v/>
      </c>
      <c r="EE5">
        <f>BDS("SYRS US Equity","SUPPLY_CHAIN_CUSTOMERS_FULL_DATA")</f>
        <v/>
      </c>
      <c r="EU5">
        <f>BDS("JNJ US Equity","SUPPLY_CHAIN_SUPPLIERS_FULL_DATA")</f>
        <v/>
      </c>
      <c r="FI5">
        <f>BDS("JNJ US Equity","SUPPLY_CHAIN_CUSTOMERS_FULL_DATA")</f>
        <v/>
      </c>
      <c r="FY5">
        <f>BDS("FPFCQ US Equity","SUPPLY_CHAIN_SUPPLIERS_FULL_DATA")</f>
        <v/>
      </c>
      <c r="GM5">
        <f>BDS("FPFCQ US Equity","SUPPLY_CHAIN_CUSTOMERS_FULL_DATA")</f>
        <v/>
      </c>
      <c r="HC5">
        <f>BDS("CBRI US Equity","SUPPLY_CHAIN_SUPPLIERS_FULL_DATA")</f>
        <v/>
      </c>
      <c r="HQ5">
        <f>BDS("CBRI US Equity","SUPPLY_CHAIN_CUSTOMERS_FULL_DATA")</f>
        <v/>
      </c>
      <c r="IG5">
        <f>BDS("OAK US Equity","SUPPLY_CHAIN_SUPPLIERS_FULL_DATA")</f>
        <v/>
      </c>
      <c r="IU5">
        <f>BDS("OAK US Equity","SUPPLY_CHAIN_CUSTOMERS_FULL_DATA")</f>
        <v/>
      </c>
      <c r="JK5">
        <f>BDS("BOFLQ US Equity","SUPPLY_CHAIN_SUPPLIERS_FULL_DATA")</f>
        <v/>
      </c>
      <c r="JY5">
        <f>BDS("BOFLQ US Equity","SUPPLY_CHAIN_CUSTOMERS_FULL_DATA")</f>
        <v/>
      </c>
      <c r="KO5">
        <f>BDS("CHCO US Equity","SUPPLY_CHAIN_SUPPLIERS_FULL_DATA")</f>
        <v/>
      </c>
      <c r="LC5">
        <f>BDS("CHCO US Equity","SUPPLY_CHAIN_CUSTOMERS_FULL_DATA")</f>
        <v/>
      </c>
      <c r="LS5">
        <f>BDS("FBMS US Equity","SUPPLY_CHAIN_SUPPLIERS_FULL_DATA")</f>
        <v/>
      </c>
      <c r="MG5">
        <f>BDS("FBMS US Equity","SUPPLY_CHAIN_CUSTOMERS_FULL_DATA")</f>
        <v/>
      </c>
      <c r="MW5">
        <f>BDS("HBNC US Equity","SUPPLY_CHAIN_SUPPLIERS_FULL_DATA")</f>
        <v/>
      </c>
      <c r="NK5">
        <f>BDS("HBNC US Equity","SUPPLY_CHAIN_CUSTOMERS_FULL_DATA")</f>
        <v/>
      </c>
      <c r="OA5">
        <f>BDS("953386Q US Equity","SUPPLY_CHAIN_SUPPLIERS_FULL_DATA")</f>
        <v/>
      </c>
      <c r="OO5">
        <f>BDS("953386Q US Equity","SUPPLY_CHAIN_CUSTOMERS_FULL_DATA")</f>
        <v/>
      </c>
      <c r="PE5">
        <f>BDS("MNR US Equity","SUPPLY_CHAIN_SUPPLIERS_FULL_DATA")</f>
        <v/>
      </c>
      <c r="PS5">
        <f>BDS("MNR US Equity","SUPPLY_CHAIN_CUSTOMERS_FULL_DATA")</f>
        <v/>
      </c>
      <c r="QI5">
        <f>BDS("HBNC US Equity","SUPPLY_CHAIN_SUPPLIERS_FULL_DATA")</f>
        <v/>
      </c>
      <c r="QW5">
        <f>BDS("HBNC US Equity","SUPPLY_CHAIN_CUSTOMERS_FULL_DATA")</f>
        <v/>
      </c>
      <c r="RM5">
        <f>BDS("PLA US Equity","SUPPLY_CHAIN_SUPPLIERS_FULL_DATA")</f>
        <v/>
      </c>
      <c r="SA5">
        <f>BDS("PLA US Equity","SUPPLY_CHAIN_CUSTOMERS_FULL_DATA")</f>
        <v/>
      </c>
      <c r="SQ5">
        <f>BDS("TDG US Equity","SUPPLY_CHAIN_SUPPLIERS_FULL_DATA")</f>
        <v/>
      </c>
      <c r="TE5">
        <f>BDS("TDG US Equity","SUPPLY_CHAIN_CUSTOMERS_FULL_DATA")</f>
        <v/>
      </c>
      <c r="TU5">
        <f>BDS("MRCY US Equity","SUPPLY_CHAIN_SUPPLIERS_FULL_DATA")</f>
        <v/>
      </c>
      <c r="UI5">
        <f>BDS("MRCY US Equity","SUPPLY_CHAIN_CUSTOMERS_FULL_DATA")</f>
        <v/>
      </c>
      <c r="UY5">
        <f>BDS("1911768D US Equity","SUPPLY_CHAIN_SUPPLIERS_FULL_DATA")</f>
        <v/>
      </c>
      <c r="VM5">
        <f>BDS("1911768D US Equity","SUPPLY_CHAIN_CUSTOMERS_FULL_DATA")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3661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3662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3663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3664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3665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3666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3667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3668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3669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3670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3671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3672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3673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3674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3675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3676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3677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3678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3679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3680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CAC US Equity</t>
        </is>
      </c>
      <c r="AE2" s="3" t="inlineStr">
        <is>
          <t>AFSC US Equity</t>
        </is>
      </c>
      <c r="BI2" s="3" t="inlineStr">
        <is>
          <t>KN US Equity</t>
        </is>
      </c>
      <c r="CM2" s="3" t="inlineStr">
        <is>
          <t>1920486D US Equity</t>
        </is>
      </c>
      <c r="DQ2" s="3" t="inlineStr">
        <is>
          <t>INSM US Equity</t>
        </is>
      </c>
      <c r="EU2" s="3" t="inlineStr">
        <is>
          <t>FIBK US Equity</t>
        </is>
      </c>
      <c r="FY2" s="3" t="inlineStr">
        <is>
          <t>838969Q US Equity</t>
        </is>
      </c>
      <c r="HC2" s="3" t="inlineStr">
        <is>
          <t>ZION US Equity</t>
        </is>
      </c>
      <c r="IG2" s="3" t="inlineStr">
        <is>
          <t>EXEL US Equity</t>
        </is>
      </c>
      <c r="JK2" s="3" t="inlineStr">
        <is>
          <t>USB US Equity</t>
        </is>
      </c>
      <c r="KO2" s="3" t="inlineStr">
        <is>
          <t>FCBC US Equity</t>
        </is>
      </c>
      <c r="LS2" s="3" t="inlineStr">
        <is>
          <t>GE US Equity</t>
        </is>
      </c>
      <c r="MW2" s="3" t="inlineStr">
        <is>
          <t>JPM US Equity</t>
        </is>
      </c>
      <c r="OA2" s="3" t="inlineStr">
        <is>
          <t>NEB US Equity</t>
        </is>
      </c>
      <c r="PE2" s="3" t="inlineStr">
        <is>
          <t>PSEC US Equity</t>
        </is>
      </c>
      <c r="QI2" s="3" t="inlineStr">
        <is>
          <t>LBAI US Equity</t>
        </is>
      </c>
      <c r="RM2" s="3" t="inlineStr">
        <is>
          <t>1068347D US Equity</t>
        </is>
      </c>
      <c r="SQ2" s="3" t="inlineStr">
        <is>
          <t>FBNW US Equity</t>
        </is>
      </c>
      <c r="TU2" s="3" t="inlineStr">
        <is>
          <t>388103Q US Equity</t>
        </is>
      </c>
      <c r="UY2" s="3" t="inlineStr">
        <is>
          <t>3417644Q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BDS("CAC US Equity","SUPPLY_CHAIN_SUPPLIERS_FULL_DATA")</f>
        <v/>
      </c>
      <c r="O5">
        <f>BDS("CAC US Equity","SUPPLY_CHAIN_CUSTOMERS_FULL_DATA")</f>
        <v/>
      </c>
      <c r="AE5">
        <f>BDS("AFSC US Equity","SUPPLY_CHAIN_SUPPLIERS_FULL_DATA")</f>
        <v/>
      </c>
      <c r="AS5">
        <f>BDS("AFSC US Equity","SUPPLY_CHAIN_CUSTOMERS_FULL_DATA")</f>
        <v/>
      </c>
      <c r="BI5">
        <f>BDS("KN US Equity","SUPPLY_CHAIN_SUPPLIERS_FULL_DATA")</f>
        <v/>
      </c>
      <c r="BW5">
        <f>BDS("KN US Equity","SUPPLY_CHAIN_CUSTOMERS_FULL_DATA")</f>
        <v/>
      </c>
      <c r="CM5">
        <f>BDS("1920486D US Equity","SUPPLY_CHAIN_SUPPLIERS_FULL_DATA")</f>
        <v/>
      </c>
      <c r="DA5">
        <f>BDS("1920486D US Equity","SUPPLY_CHAIN_CUSTOMERS_FULL_DATA")</f>
        <v/>
      </c>
      <c r="DQ5">
        <f>BDS("INSM US Equity","SUPPLY_CHAIN_SUPPLIERS_FULL_DATA")</f>
        <v/>
      </c>
      <c r="EE5">
        <f>BDS("INSM US Equity","SUPPLY_CHAIN_CUSTOMERS_FULL_DATA")</f>
        <v/>
      </c>
      <c r="EU5">
        <f>BDS("FIBK US Equity","SUPPLY_CHAIN_SUPPLIERS_FULL_DATA")</f>
        <v/>
      </c>
      <c r="FI5">
        <f>BDS("FIBK US Equity","SUPPLY_CHAIN_CUSTOMERS_FULL_DATA")</f>
        <v/>
      </c>
      <c r="FY5">
        <f>BDS("838969Q US Equity","SUPPLY_CHAIN_SUPPLIERS_FULL_DATA")</f>
        <v/>
      </c>
      <c r="GM5">
        <f>BDS("838969Q US Equity","SUPPLY_CHAIN_CUSTOMERS_FULL_DATA")</f>
        <v/>
      </c>
      <c r="HC5">
        <f>BDS("ZION US Equity","SUPPLY_CHAIN_SUPPLIERS_FULL_DATA")</f>
        <v/>
      </c>
      <c r="HQ5">
        <f>BDS("ZION US Equity","SUPPLY_CHAIN_CUSTOMERS_FULL_DATA")</f>
        <v/>
      </c>
      <c r="IG5">
        <f>BDS("EXEL US Equity","SUPPLY_CHAIN_SUPPLIERS_FULL_DATA")</f>
        <v/>
      </c>
      <c r="IU5">
        <f>BDS("EXEL US Equity","SUPPLY_CHAIN_CUSTOMERS_FULL_DATA")</f>
        <v/>
      </c>
      <c r="JK5">
        <f>BDS("USB US Equity","SUPPLY_CHAIN_SUPPLIERS_FULL_DATA")</f>
        <v/>
      </c>
      <c r="JY5">
        <f>BDS("USB US Equity","SUPPLY_CHAIN_CUSTOMERS_FULL_DATA")</f>
        <v/>
      </c>
      <c r="KO5">
        <f>BDS("FCBC US Equity","SUPPLY_CHAIN_SUPPLIERS_FULL_DATA")</f>
        <v/>
      </c>
      <c r="LC5">
        <f>BDS("FCBC US Equity","SUPPLY_CHAIN_CUSTOMERS_FULL_DATA")</f>
        <v/>
      </c>
      <c r="LS5">
        <f>BDS("GE US Equity","SUPPLY_CHAIN_SUPPLIERS_FULL_DATA")</f>
        <v/>
      </c>
      <c r="MG5">
        <f>BDS("GE US Equity","SUPPLY_CHAIN_CUSTOMERS_FULL_DATA")</f>
        <v/>
      </c>
      <c r="MW5">
        <f>BDS("JPM US Equity","SUPPLY_CHAIN_SUPPLIERS_FULL_DATA")</f>
        <v/>
      </c>
      <c r="NK5">
        <f>BDS("JPM US Equity","SUPPLY_CHAIN_CUSTOMERS_FULL_DATA")</f>
        <v/>
      </c>
      <c r="OA5">
        <f>BDS("NEB US Equity","SUPPLY_CHAIN_SUPPLIERS_FULL_DATA")</f>
        <v/>
      </c>
      <c r="OO5">
        <f>BDS("NEB US Equity","SUPPLY_CHAIN_CUSTOMERS_FULL_DATA")</f>
        <v/>
      </c>
      <c r="PE5">
        <f>BDS("PSEC US Equity","SUPPLY_CHAIN_SUPPLIERS_FULL_DATA")</f>
        <v/>
      </c>
      <c r="PS5">
        <f>BDS("PSEC US Equity","SUPPLY_CHAIN_CUSTOMERS_FULL_DATA")</f>
        <v/>
      </c>
      <c r="QI5">
        <f>BDS("LBAI US Equity","SUPPLY_CHAIN_SUPPLIERS_FULL_DATA")</f>
        <v/>
      </c>
      <c r="QW5">
        <f>BDS("LBAI US Equity","SUPPLY_CHAIN_CUSTOMERS_FULL_DATA")</f>
        <v/>
      </c>
      <c r="RM5">
        <f>BDS("1068347D US Equity","SUPPLY_CHAIN_SUPPLIERS_FULL_DATA")</f>
        <v/>
      </c>
      <c r="SA5">
        <f>BDS("1068347D US Equity","SUPPLY_CHAIN_CUSTOMERS_FULL_DATA")</f>
        <v/>
      </c>
      <c r="SQ5">
        <f>BDS("FBNW US Equity","SUPPLY_CHAIN_SUPPLIERS_FULL_DATA")</f>
        <v/>
      </c>
      <c r="TE5">
        <f>BDS("FBNW US Equity","SUPPLY_CHAIN_CUSTOMERS_FULL_DATA")</f>
        <v/>
      </c>
      <c r="TU5">
        <f>BDS("388103Q US Equity","SUPPLY_CHAIN_SUPPLIERS_FULL_DATA")</f>
        <v/>
      </c>
      <c r="UI5">
        <f>BDS("388103Q US Equity","SUPPLY_CHAIN_CUSTOMERS_FULL_DATA")</f>
        <v/>
      </c>
      <c r="UY5">
        <f>BDS("3417644Q US Equity","SUPPLY_CHAIN_SUPPLIERS_FULL_DATA")</f>
        <v/>
      </c>
      <c r="VM5">
        <f>BDS("3417644Q US Equity","SUPPLY_CHAIN_CUSTOMERS_FULL_DATA")</f>
        <v/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3681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3682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3683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3684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3685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3686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3687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3688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3689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3690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3691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3692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3693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3694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3695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3696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3697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3698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3699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3700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1611364D US Equity</t>
        </is>
      </c>
      <c r="AE2" s="3" t="inlineStr">
        <is>
          <t>FSNMQ US Equity</t>
        </is>
      </c>
      <c r="BI2" s="3" t="inlineStr">
        <is>
          <t>3075370Q US Equity</t>
        </is>
      </c>
      <c r="CM2" s="3" t="inlineStr">
        <is>
          <t>KRNY US Equity</t>
        </is>
      </c>
      <c r="DQ2" s="3" t="inlineStr">
        <is>
          <t>8397627Q US Equity</t>
        </is>
      </c>
      <c r="EU2" s="3" t="inlineStr">
        <is>
          <t>OSGIQ US Equity</t>
        </is>
      </c>
      <c r="FY2" s="3" t="inlineStr">
        <is>
          <t>BSX US Equity</t>
        </is>
      </c>
      <c r="HC2" s="3" t="inlineStr">
        <is>
          <t>OCR US Equity</t>
        </is>
      </c>
      <c r="IG2" s="3" t="inlineStr">
        <is>
          <t>SUG US Equity</t>
        </is>
      </c>
      <c r="JK2" s="3" t="inlineStr">
        <is>
          <t>2860436Q US Equity</t>
        </is>
      </c>
      <c r="KO2" s="3" t="inlineStr">
        <is>
          <t>8215820Q US Equity</t>
        </is>
      </c>
      <c r="LS2" s="3" t="inlineStr">
        <is>
          <t>PPBI US Equity</t>
        </is>
      </c>
      <c r="MW2" s="3" t="inlineStr">
        <is>
          <t>NAL US Equity</t>
        </is>
      </c>
      <c r="OA2" s="3" t="inlineStr">
        <is>
          <t>FMNB US Equity</t>
        </is>
      </c>
      <c r="PE2" s="3" t="inlineStr">
        <is>
          <t>BTFG US Equity</t>
        </is>
      </c>
      <c r="QI2" s="3" t="inlineStr">
        <is>
          <t>ONB US Equity</t>
        </is>
      </c>
      <c r="RM2" s="3" t="inlineStr">
        <is>
          <t>RSHCQ US Equity</t>
        </is>
      </c>
      <c r="SQ2" s="3" t="inlineStr">
        <is>
          <t>FPFCQ US Equity</t>
        </is>
      </c>
      <c r="TU2" s="3" t="inlineStr">
        <is>
          <t>CVBF US Equity</t>
        </is>
      </c>
      <c r="UY2" s="3" t="inlineStr">
        <is>
          <t>1284849D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BDS("1611364D US Equity","SUPPLY_CHAIN_SUPPLIERS_FULL_DATA")</f>
        <v/>
      </c>
      <c r="O5">
        <f>BDS("1611364D US Equity","SUPPLY_CHAIN_CUSTOMERS_FULL_DATA")</f>
        <v/>
      </c>
      <c r="AE5">
        <f>BDS("FSNMQ US Equity","SUPPLY_CHAIN_SUPPLIERS_FULL_DATA")</f>
        <v/>
      </c>
      <c r="AS5">
        <f>BDS("FSNMQ US Equity","SUPPLY_CHAIN_CUSTOMERS_FULL_DATA")</f>
        <v/>
      </c>
      <c r="BI5">
        <f>BDS("3075370Q US Equity","SUPPLY_CHAIN_SUPPLIERS_FULL_DATA")</f>
        <v/>
      </c>
      <c r="BW5">
        <f>BDS("3075370Q US Equity","SUPPLY_CHAIN_CUSTOMERS_FULL_DATA")</f>
        <v/>
      </c>
      <c r="CM5">
        <f>BDS("KRNY US Equity","SUPPLY_CHAIN_SUPPLIERS_FULL_DATA")</f>
        <v/>
      </c>
      <c r="DA5">
        <f>BDS("KRNY US Equity","SUPPLY_CHAIN_CUSTOMERS_FULL_DATA")</f>
        <v/>
      </c>
      <c r="DQ5">
        <f>BDS("8397627Q US Equity","SUPPLY_CHAIN_SUPPLIERS_FULL_DATA")</f>
        <v/>
      </c>
      <c r="EE5">
        <f>BDS("8397627Q US Equity","SUPPLY_CHAIN_CUSTOMERS_FULL_DATA")</f>
        <v/>
      </c>
      <c r="EU5">
        <f>BDS("OSGIQ US Equity","SUPPLY_CHAIN_SUPPLIERS_FULL_DATA")</f>
        <v/>
      </c>
      <c r="FI5">
        <f>BDS("OSGIQ US Equity","SUPPLY_CHAIN_CUSTOMERS_FULL_DATA")</f>
        <v/>
      </c>
      <c r="FY5">
        <f>BDS("BSX US Equity","SUPPLY_CHAIN_SUPPLIERS_FULL_DATA")</f>
        <v/>
      </c>
      <c r="GM5">
        <f>BDS("BSX US Equity","SUPPLY_CHAIN_CUSTOMERS_FULL_DATA")</f>
        <v/>
      </c>
      <c r="HC5">
        <f>BDS("OCR US Equity","SUPPLY_CHAIN_SUPPLIERS_FULL_DATA")</f>
        <v/>
      </c>
      <c r="HQ5">
        <f>BDS("OCR US Equity","SUPPLY_CHAIN_CUSTOMERS_FULL_DATA")</f>
        <v/>
      </c>
      <c r="IG5">
        <f>BDS("SUG US Equity","SUPPLY_CHAIN_SUPPLIERS_FULL_DATA")</f>
        <v/>
      </c>
      <c r="IU5">
        <f>BDS("SUG US Equity","SUPPLY_CHAIN_CUSTOMERS_FULL_DATA")</f>
        <v/>
      </c>
      <c r="JK5">
        <f>BDS("2860436Q US Equity","SUPPLY_CHAIN_SUPPLIERS_FULL_DATA")</f>
        <v/>
      </c>
      <c r="JY5">
        <f>BDS("2860436Q US Equity","SUPPLY_CHAIN_CUSTOMERS_FULL_DATA")</f>
        <v/>
      </c>
      <c r="KO5">
        <f>BDS("8215820Q US Equity","SUPPLY_CHAIN_SUPPLIERS_FULL_DATA")</f>
        <v/>
      </c>
      <c r="LC5">
        <f>BDS("8215820Q US Equity","SUPPLY_CHAIN_CUSTOMERS_FULL_DATA")</f>
        <v/>
      </c>
      <c r="LS5">
        <f>BDS("PPBI US Equity","SUPPLY_CHAIN_SUPPLIERS_FULL_DATA")</f>
        <v/>
      </c>
      <c r="MG5">
        <f>BDS("PPBI US Equity","SUPPLY_CHAIN_CUSTOMERS_FULL_DATA")</f>
        <v/>
      </c>
      <c r="MW5">
        <f>BDS("NAL US Equity","SUPPLY_CHAIN_SUPPLIERS_FULL_DATA")</f>
        <v/>
      </c>
      <c r="NK5">
        <f>BDS("NAL US Equity","SUPPLY_CHAIN_CUSTOMERS_FULL_DATA")</f>
        <v/>
      </c>
      <c r="OA5">
        <f>BDS("FMNB US Equity","SUPPLY_CHAIN_SUPPLIERS_FULL_DATA")</f>
        <v/>
      </c>
      <c r="OO5">
        <f>BDS("FMNB US Equity","SUPPLY_CHAIN_CUSTOMERS_FULL_DATA")</f>
        <v/>
      </c>
      <c r="PE5">
        <f>BDS("BTFG US Equity","SUPPLY_CHAIN_SUPPLIERS_FULL_DATA")</f>
        <v/>
      </c>
      <c r="PS5">
        <f>BDS("BTFG US Equity","SUPPLY_CHAIN_CUSTOMERS_FULL_DATA")</f>
        <v/>
      </c>
      <c r="QI5">
        <f>BDS("ONB US Equity","SUPPLY_CHAIN_SUPPLIERS_FULL_DATA")</f>
        <v/>
      </c>
      <c r="QW5">
        <f>BDS("ONB US Equity","SUPPLY_CHAIN_CUSTOMERS_FULL_DATA")</f>
        <v/>
      </c>
      <c r="RM5">
        <f>BDS("RSHCQ US Equity","SUPPLY_CHAIN_SUPPLIERS_FULL_DATA")</f>
        <v/>
      </c>
      <c r="SA5">
        <f>BDS("RSHCQ US Equity","SUPPLY_CHAIN_CUSTOMERS_FULL_DATA")</f>
        <v/>
      </c>
      <c r="SQ5">
        <f>BDS("FPFCQ US Equity","SUPPLY_CHAIN_SUPPLIERS_FULL_DATA")</f>
        <v/>
      </c>
      <c r="TE5">
        <f>BDS("FPFCQ US Equity","SUPPLY_CHAIN_CUSTOMERS_FULL_DATA")</f>
        <v/>
      </c>
      <c r="TU5">
        <f>BDS("CVBF US Equity","SUPPLY_CHAIN_SUPPLIERS_FULL_DATA")</f>
        <v/>
      </c>
      <c r="UI5">
        <f>BDS("CVBF US Equity","SUPPLY_CHAIN_CUSTOMERS_FULL_DATA")</f>
        <v/>
      </c>
      <c r="UY5">
        <f>BDS("1284849D US Equity","SUPPLY_CHAIN_SUPPLIERS_FULL_DATA")</f>
        <v/>
      </c>
      <c r="VM5">
        <f>BDS("1284849D US Equity","SUPPLY_CHAIN_CUSTOMERS_FULL_DATA")</f>
        <v/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3701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3702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3703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3704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3705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3706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3707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3708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3709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3710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3711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3712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3713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3714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3715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3716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3717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3718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3719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3720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STOKQ US Equity</t>
        </is>
      </c>
      <c r="AE2" s="3" t="inlineStr">
        <is>
          <t>NNN US Equity</t>
        </is>
      </c>
      <c r="BI2" s="3" t="inlineStr">
        <is>
          <t>1927294D US Equity</t>
        </is>
      </c>
      <c r="CM2" s="3" t="inlineStr">
        <is>
          <t>605018Q US Equity</t>
        </is>
      </c>
      <c r="DQ2" s="3" t="inlineStr">
        <is>
          <t>QVDX US Equity</t>
        </is>
      </c>
      <c r="EU2" s="3" t="inlineStr">
        <is>
          <t>LGTO US Equity</t>
        </is>
      </c>
      <c r="FY2" s="3" t="inlineStr">
        <is>
          <t>WSBC US Equity</t>
        </is>
      </c>
      <c r="HC2" s="3" t="inlineStr">
        <is>
          <t>HBCP US Equity</t>
        </is>
      </c>
      <c r="IG2" s="3" t="inlineStr">
        <is>
          <t>WLL US Equity</t>
        </is>
      </c>
      <c r="JK2" s="3" t="inlineStr">
        <is>
          <t>AON US Equity</t>
        </is>
      </c>
      <c r="KO2" s="3" t="inlineStr">
        <is>
          <t>FMBI US Equity</t>
        </is>
      </c>
      <c r="LS2" s="3" t="inlineStr">
        <is>
          <t>ITW US Equity</t>
        </is>
      </c>
      <c r="MW2" s="3" t="inlineStr">
        <is>
          <t>TA US Equity</t>
        </is>
      </c>
      <c r="OA2" s="3" t="inlineStr">
        <is>
          <t>HAS US Equity</t>
        </is>
      </c>
      <c r="PE2" s="3" t="inlineStr">
        <is>
          <t>HNH US Equity</t>
        </is>
      </c>
      <c r="QI2" s="3" t="inlineStr">
        <is>
          <t>LNY US Equity</t>
        </is>
      </c>
      <c r="RM2" s="3" t="inlineStr">
        <is>
          <t>SOA US Equity</t>
        </is>
      </c>
      <c r="SQ2" s="3" t="inlineStr">
        <is>
          <t>2674129Q US Equity</t>
        </is>
      </c>
      <c r="TU2" s="3" t="inlineStr">
        <is>
          <t>LNN US Equity</t>
        </is>
      </c>
      <c r="UY2" s="3" t="inlineStr">
        <is>
          <t>HNBC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BDS("STOKQ US Equity","SUPPLY_CHAIN_SUPPLIERS_FULL_DATA")</f>
        <v/>
      </c>
      <c r="O5">
        <f>BDS("STOKQ US Equity","SUPPLY_CHAIN_CUSTOMERS_FULL_DATA")</f>
        <v/>
      </c>
      <c r="AE5">
        <f>BDS("NNN US Equity","SUPPLY_CHAIN_SUPPLIERS_FULL_DATA")</f>
        <v/>
      </c>
      <c r="AS5">
        <f>BDS("NNN US Equity","SUPPLY_CHAIN_CUSTOMERS_FULL_DATA")</f>
        <v/>
      </c>
      <c r="BI5">
        <f>BDS("1927294D US Equity","SUPPLY_CHAIN_SUPPLIERS_FULL_DATA")</f>
        <v/>
      </c>
      <c r="BW5">
        <f>BDS("1927294D US Equity","SUPPLY_CHAIN_CUSTOMERS_FULL_DATA")</f>
        <v/>
      </c>
      <c r="CM5">
        <f>BDS("605018Q US Equity","SUPPLY_CHAIN_SUPPLIERS_FULL_DATA")</f>
        <v/>
      </c>
      <c r="DA5">
        <f>BDS("605018Q US Equity","SUPPLY_CHAIN_CUSTOMERS_FULL_DATA")</f>
        <v/>
      </c>
      <c r="DQ5">
        <f>BDS("QVDX US Equity","SUPPLY_CHAIN_SUPPLIERS_FULL_DATA")</f>
        <v/>
      </c>
      <c r="EE5">
        <f>BDS("QVDX US Equity","SUPPLY_CHAIN_CUSTOMERS_FULL_DATA")</f>
        <v/>
      </c>
      <c r="EU5">
        <f>BDS("LGTO US Equity","SUPPLY_CHAIN_SUPPLIERS_FULL_DATA")</f>
        <v/>
      </c>
      <c r="FI5">
        <f>BDS("LGTO US Equity","SUPPLY_CHAIN_CUSTOMERS_FULL_DATA")</f>
        <v/>
      </c>
      <c r="FY5">
        <f>BDS("WSBC US Equity","SUPPLY_CHAIN_SUPPLIERS_FULL_DATA")</f>
        <v/>
      </c>
      <c r="GM5">
        <f>BDS("WSBC US Equity","SUPPLY_CHAIN_CUSTOMERS_FULL_DATA")</f>
        <v/>
      </c>
      <c r="HC5">
        <f>BDS("HBCP US Equity","SUPPLY_CHAIN_SUPPLIERS_FULL_DATA")</f>
        <v/>
      </c>
      <c r="HQ5">
        <f>BDS("HBCP US Equity","SUPPLY_CHAIN_CUSTOMERS_FULL_DATA")</f>
        <v/>
      </c>
      <c r="IG5">
        <f>BDS("WLL US Equity","SUPPLY_CHAIN_SUPPLIERS_FULL_DATA")</f>
        <v/>
      </c>
      <c r="IU5">
        <f>BDS("WLL US Equity","SUPPLY_CHAIN_CUSTOMERS_FULL_DATA")</f>
        <v/>
      </c>
      <c r="JK5">
        <f>BDS("AON US Equity","SUPPLY_CHAIN_SUPPLIERS_FULL_DATA")</f>
        <v/>
      </c>
      <c r="JY5">
        <f>BDS("AON US Equity","SUPPLY_CHAIN_CUSTOMERS_FULL_DATA")</f>
        <v/>
      </c>
      <c r="KO5">
        <f>BDS("FMBI US Equity","SUPPLY_CHAIN_SUPPLIERS_FULL_DATA")</f>
        <v/>
      </c>
      <c r="LC5">
        <f>BDS("FMBI US Equity","SUPPLY_CHAIN_CUSTOMERS_FULL_DATA")</f>
        <v/>
      </c>
      <c r="LS5">
        <f>BDS("ITW US Equity","SUPPLY_CHAIN_SUPPLIERS_FULL_DATA")</f>
        <v/>
      </c>
      <c r="MG5">
        <f>BDS("ITW US Equity","SUPPLY_CHAIN_CUSTOMERS_FULL_DATA")</f>
        <v/>
      </c>
      <c r="MW5">
        <f>BDS("TA US Equity","SUPPLY_CHAIN_SUPPLIERS_FULL_DATA")</f>
        <v/>
      </c>
      <c r="NK5">
        <f>BDS("TA US Equity","SUPPLY_CHAIN_CUSTOMERS_FULL_DATA")</f>
        <v/>
      </c>
      <c r="OA5">
        <f>BDS("HAS US Equity","SUPPLY_CHAIN_SUPPLIERS_FULL_DATA")</f>
        <v/>
      </c>
      <c r="OO5">
        <f>BDS("HAS US Equity","SUPPLY_CHAIN_CUSTOMERS_FULL_DATA")</f>
        <v/>
      </c>
      <c r="PE5">
        <f>BDS("HNH US Equity","SUPPLY_CHAIN_SUPPLIERS_FULL_DATA")</f>
        <v/>
      </c>
      <c r="PS5">
        <f>BDS("HNH US Equity","SUPPLY_CHAIN_CUSTOMERS_FULL_DATA")</f>
        <v/>
      </c>
      <c r="QI5">
        <f>BDS("LNY US Equity","SUPPLY_CHAIN_SUPPLIERS_FULL_DATA")</f>
        <v/>
      </c>
      <c r="QW5">
        <f>BDS("LNY US Equity","SUPPLY_CHAIN_CUSTOMERS_FULL_DATA")</f>
        <v/>
      </c>
      <c r="RM5">
        <f>BDS("SOA US Equity","SUPPLY_CHAIN_SUPPLIERS_FULL_DATA")</f>
        <v/>
      </c>
      <c r="SA5">
        <f>BDS("SOA US Equity","SUPPLY_CHAIN_CUSTOMERS_FULL_DATA")</f>
        <v/>
      </c>
      <c r="SQ5">
        <f>BDS("2674129Q US Equity","SUPPLY_CHAIN_SUPPLIERS_FULL_DATA")</f>
        <v/>
      </c>
      <c r="TE5">
        <f>BDS("2674129Q US Equity","SUPPLY_CHAIN_CUSTOMERS_FULL_DATA")</f>
        <v/>
      </c>
      <c r="TU5">
        <f>BDS("LNN US Equity","SUPPLY_CHAIN_SUPPLIERS_FULL_DATA")</f>
        <v/>
      </c>
      <c r="UI5">
        <f>BDS("LNN US Equity","SUPPLY_CHAIN_CUSTOMERS_FULL_DATA")</f>
        <v/>
      </c>
      <c r="UY5">
        <f>BDS("HNBC US Equity","SUPPLY_CHAIN_SUPPLIERS_FULL_DATA")</f>
        <v/>
      </c>
      <c r="VM5">
        <f>BDS("HNBC US Equity","SUPPLY_CHAIN_CUSTOMERS_FULL_DATA")</f>
        <v/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3721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3722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3723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3724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3725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3726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3727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3728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3729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3730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3731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3732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3733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3734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3735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3736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3737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3738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3739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3740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VHI US Equity</t>
        </is>
      </c>
      <c r="AE2" s="3" t="inlineStr">
        <is>
          <t>XXIA US Equity</t>
        </is>
      </c>
      <c r="BI2" s="3" t="inlineStr">
        <is>
          <t>RNST US Equity</t>
        </is>
      </c>
      <c r="CM2" s="3" t="inlineStr">
        <is>
          <t>3075558Q US Equity</t>
        </is>
      </c>
      <c r="DQ2" s="3" t="inlineStr">
        <is>
          <t>FINB US Equity</t>
        </is>
      </c>
      <c r="EU2" s="3" t="inlineStr">
        <is>
          <t>0848680D US Equity</t>
        </is>
      </c>
      <c r="FY2" s="3" t="inlineStr">
        <is>
          <t>9990201D US Equity</t>
        </is>
      </c>
      <c r="HC2" s="3" t="inlineStr">
        <is>
          <t>CBAN US Equity</t>
        </is>
      </c>
      <c r="IG2" s="3" t="inlineStr">
        <is>
          <t>CLGX US Equity</t>
        </is>
      </c>
      <c r="JK2" s="3" t="inlineStr">
        <is>
          <t>601238Q US Equity</t>
        </is>
      </c>
      <c r="KO2" s="3" t="inlineStr">
        <is>
          <t>REXR US Equity</t>
        </is>
      </c>
      <c r="LS2" s="3" t="inlineStr">
        <is>
          <t>LFT US Equity</t>
        </is>
      </c>
      <c r="MW2" s="3" t="inlineStr">
        <is>
          <t>FLG US Equity</t>
        </is>
      </c>
      <c r="OA2" s="3" t="inlineStr">
        <is>
          <t>SCFS US Equity</t>
        </is>
      </c>
      <c r="PE2" s="3" t="inlineStr">
        <is>
          <t>ADP US Equity</t>
        </is>
      </c>
      <c r="QI2" s="3" t="inlineStr">
        <is>
          <t>FTBK US Equity</t>
        </is>
      </c>
      <c r="RM2" s="3" t="inlineStr">
        <is>
          <t>PCP US Equity</t>
        </is>
      </c>
      <c r="SQ2" s="3" t="inlineStr">
        <is>
          <t>DZSIQ US Equity</t>
        </is>
      </c>
      <c r="TU2" s="3" t="inlineStr">
        <is>
          <t>0272214Q US Equity</t>
        </is>
      </c>
      <c r="UY2" s="3" t="inlineStr">
        <is>
          <t>MDEA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BDS("VHI US Equity","SUPPLY_CHAIN_SUPPLIERS_FULL_DATA")</f>
        <v/>
      </c>
      <c r="O5">
        <f>BDS("VHI US Equity","SUPPLY_CHAIN_CUSTOMERS_FULL_DATA")</f>
        <v/>
      </c>
      <c r="AE5">
        <f>BDS("XXIA US Equity","SUPPLY_CHAIN_SUPPLIERS_FULL_DATA")</f>
        <v/>
      </c>
      <c r="AS5">
        <f>BDS("XXIA US Equity","SUPPLY_CHAIN_CUSTOMERS_FULL_DATA")</f>
        <v/>
      </c>
      <c r="BI5">
        <f>BDS("RNST US Equity","SUPPLY_CHAIN_SUPPLIERS_FULL_DATA")</f>
        <v/>
      </c>
      <c r="BW5">
        <f>BDS("RNST US Equity","SUPPLY_CHAIN_CUSTOMERS_FULL_DATA")</f>
        <v/>
      </c>
      <c r="CM5">
        <f>BDS("3075558Q US Equity","SUPPLY_CHAIN_SUPPLIERS_FULL_DATA")</f>
        <v/>
      </c>
      <c r="DA5">
        <f>BDS("3075558Q US Equity","SUPPLY_CHAIN_CUSTOMERS_FULL_DATA")</f>
        <v/>
      </c>
      <c r="DQ5">
        <f>BDS("FINB US Equity","SUPPLY_CHAIN_SUPPLIERS_FULL_DATA")</f>
        <v/>
      </c>
      <c r="EE5">
        <f>BDS("FINB US Equity","SUPPLY_CHAIN_CUSTOMERS_FULL_DATA")</f>
        <v/>
      </c>
      <c r="EU5">
        <f>BDS("0848680D US Equity","SUPPLY_CHAIN_SUPPLIERS_FULL_DATA")</f>
        <v/>
      </c>
      <c r="FI5">
        <f>BDS("0848680D US Equity","SUPPLY_CHAIN_CUSTOMERS_FULL_DATA")</f>
        <v/>
      </c>
      <c r="FY5">
        <f>BDS("9990201D US Equity","SUPPLY_CHAIN_SUPPLIERS_FULL_DATA")</f>
        <v/>
      </c>
      <c r="GM5">
        <f>BDS("9990201D US Equity","SUPPLY_CHAIN_CUSTOMERS_FULL_DATA")</f>
        <v/>
      </c>
      <c r="HC5">
        <f>BDS("CBAN US Equity","SUPPLY_CHAIN_SUPPLIERS_FULL_DATA")</f>
        <v/>
      </c>
      <c r="HQ5">
        <f>BDS("CBAN US Equity","SUPPLY_CHAIN_CUSTOMERS_FULL_DATA")</f>
        <v/>
      </c>
      <c r="IG5">
        <f>BDS("CLGX US Equity","SUPPLY_CHAIN_SUPPLIERS_FULL_DATA")</f>
        <v/>
      </c>
      <c r="IU5">
        <f>BDS("CLGX US Equity","SUPPLY_CHAIN_CUSTOMERS_FULL_DATA")</f>
        <v/>
      </c>
      <c r="JK5">
        <f>BDS("601238Q US Equity","SUPPLY_CHAIN_SUPPLIERS_FULL_DATA")</f>
        <v/>
      </c>
      <c r="JY5">
        <f>BDS("601238Q US Equity","SUPPLY_CHAIN_CUSTOMERS_FULL_DATA")</f>
        <v/>
      </c>
      <c r="KO5">
        <f>BDS("REXR US Equity","SUPPLY_CHAIN_SUPPLIERS_FULL_DATA")</f>
        <v/>
      </c>
      <c r="LC5">
        <f>BDS("REXR US Equity","SUPPLY_CHAIN_CUSTOMERS_FULL_DATA")</f>
        <v/>
      </c>
      <c r="LS5">
        <f>BDS("LFT US Equity","SUPPLY_CHAIN_SUPPLIERS_FULL_DATA")</f>
        <v/>
      </c>
      <c r="MG5">
        <f>BDS("LFT US Equity","SUPPLY_CHAIN_CUSTOMERS_FULL_DATA")</f>
        <v/>
      </c>
      <c r="MW5">
        <f>BDS("FLG US Equity","SUPPLY_CHAIN_SUPPLIERS_FULL_DATA")</f>
        <v/>
      </c>
      <c r="NK5">
        <f>BDS("FLG US Equity","SUPPLY_CHAIN_CUSTOMERS_FULL_DATA")</f>
        <v/>
      </c>
      <c r="OA5">
        <f>BDS("SCFS US Equity","SUPPLY_CHAIN_SUPPLIERS_FULL_DATA")</f>
        <v/>
      </c>
      <c r="OO5">
        <f>BDS("SCFS US Equity","SUPPLY_CHAIN_CUSTOMERS_FULL_DATA")</f>
        <v/>
      </c>
      <c r="PE5">
        <f>BDS("ADP US Equity","SUPPLY_CHAIN_SUPPLIERS_FULL_DATA")</f>
        <v/>
      </c>
      <c r="PS5">
        <f>BDS("ADP US Equity","SUPPLY_CHAIN_CUSTOMERS_FULL_DATA")</f>
        <v/>
      </c>
      <c r="QI5">
        <f>BDS("FTBK US Equity","SUPPLY_CHAIN_SUPPLIERS_FULL_DATA")</f>
        <v/>
      </c>
      <c r="QW5">
        <f>BDS("FTBK US Equity","SUPPLY_CHAIN_CUSTOMERS_FULL_DATA")</f>
        <v/>
      </c>
      <c r="RM5">
        <f>BDS("PCP US Equity","SUPPLY_CHAIN_SUPPLIERS_FULL_DATA")</f>
        <v/>
      </c>
      <c r="SA5">
        <f>BDS("PCP US Equity","SUPPLY_CHAIN_CUSTOMERS_FULL_DATA")</f>
        <v/>
      </c>
      <c r="SQ5">
        <f>BDS("DZSIQ US Equity","SUPPLY_CHAIN_SUPPLIERS_FULL_DATA")</f>
        <v/>
      </c>
      <c r="TE5">
        <f>BDS("DZSIQ US Equity","SUPPLY_CHAIN_CUSTOMERS_FULL_DATA")</f>
        <v/>
      </c>
      <c r="TU5">
        <f>BDS("0272214Q US Equity","SUPPLY_CHAIN_SUPPLIERS_FULL_DATA")</f>
        <v/>
      </c>
      <c r="UI5">
        <f>BDS("0272214Q US Equity","SUPPLY_CHAIN_CUSTOMERS_FULL_DATA")</f>
        <v/>
      </c>
      <c r="UY5">
        <f>BDS("MDEA US Equity","SUPPLY_CHAIN_SUPPLIERS_FULL_DATA")</f>
        <v/>
      </c>
      <c r="VM5">
        <f>BDS("MDEA US Equity","SUPPLY_CHAIN_CUSTOMERS_FULL_DATA")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3741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3742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3743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3744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3745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3746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3747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3748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3749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3750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3751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3752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3753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3754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3755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3756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3757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3758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3759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3760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TMO US Equity</t>
        </is>
      </c>
      <c r="AE2" s="3" t="inlineStr">
        <is>
          <t>OV US Equity</t>
        </is>
      </c>
      <c r="BI2" s="3" t="inlineStr">
        <is>
          <t>KNXA US Equity</t>
        </is>
      </c>
      <c r="CM2" s="3" t="inlineStr">
        <is>
          <t>OZK US Equity</t>
        </is>
      </c>
      <c r="DQ2" s="3" t="inlineStr">
        <is>
          <t>COHR US Equity</t>
        </is>
      </c>
      <c r="EU2" s="3" t="inlineStr">
        <is>
          <t>JNJ US Equity</t>
        </is>
      </c>
      <c r="FY2" s="3" t="inlineStr">
        <is>
          <t>SPLP US Equity</t>
        </is>
      </c>
      <c r="HC2" s="3" t="inlineStr">
        <is>
          <t>MFA US Equity</t>
        </is>
      </c>
      <c r="IG2" s="3" t="inlineStr">
        <is>
          <t>FNB US Equity</t>
        </is>
      </c>
      <c r="JK2" s="3" t="inlineStr">
        <is>
          <t>SUPR US Equity</t>
        </is>
      </c>
      <c r="KO2" s="3" t="inlineStr">
        <is>
          <t>LAMR US Equity</t>
        </is>
      </c>
      <c r="LS2" s="3" t="inlineStr">
        <is>
          <t>HTLF US Equity</t>
        </is>
      </c>
      <c r="MW2" s="3" t="inlineStr">
        <is>
          <t>CSCQ US Equity</t>
        </is>
      </c>
      <c r="OA2" s="3" t="inlineStr">
        <is>
          <t>2619871D US Equity</t>
        </is>
      </c>
      <c r="PE2" s="3" t="inlineStr">
        <is>
          <t>2676187Q US Equity</t>
        </is>
      </c>
      <c r="QI2" s="3" t="inlineStr">
        <is>
          <t>FFWM US Equity</t>
        </is>
      </c>
      <c r="RM2" s="3" t="inlineStr">
        <is>
          <t>FULT US Equity</t>
        </is>
      </c>
      <c r="SQ2" s="3" t="inlineStr">
        <is>
          <t>PRA US Equity</t>
        </is>
      </c>
      <c r="TU2" s="3" t="inlineStr">
        <is>
          <t>FRME US Equity</t>
        </is>
      </c>
      <c r="UY2" s="3" t="inlineStr">
        <is>
          <t>TMWD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BDS("TMO US Equity","SUPPLY_CHAIN_SUPPLIERS_FULL_DATA")</f>
        <v/>
      </c>
      <c r="O5">
        <f>BDS("TMO US Equity","SUPPLY_CHAIN_CUSTOMERS_FULL_DATA")</f>
        <v/>
      </c>
      <c r="AE5">
        <f>BDS("OV US Equity","SUPPLY_CHAIN_SUPPLIERS_FULL_DATA")</f>
        <v/>
      </c>
      <c r="AS5">
        <f>BDS("OV US Equity","SUPPLY_CHAIN_CUSTOMERS_FULL_DATA")</f>
        <v/>
      </c>
      <c r="BI5">
        <f>BDS("KNXA US Equity","SUPPLY_CHAIN_SUPPLIERS_FULL_DATA")</f>
        <v/>
      </c>
      <c r="BW5">
        <f>BDS("KNXA US Equity","SUPPLY_CHAIN_CUSTOMERS_FULL_DATA")</f>
        <v/>
      </c>
      <c r="CM5">
        <f>BDS("OZK US Equity","SUPPLY_CHAIN_SUPPLIERS_FULL_DATA")</f>
        <v/>
      </c>
      <c r="DA5">
        <f>BDS("OZK US Equity","SUPPLY_CHAIN_CUSTOMERS_FULL_DATA")</f>
        <v/>
      </c>
      <c r="DQ5">
        <f>BDS("COHR US Equity","SUPPLY_CHAIN_SUPPLIERS_FULL_DATA")</f>
        <v/>
      </c>
      <c r="EE5">
        <f>BDS("COHR US Equity","SUPPLY_CHAIN_CUSTOMERS_FULL_DATA")</f>
        <v/>
      </c>
      <c r="EU5">
        <f>BDS("JNJ US Equity","SUPPLY_CHAIN_SUPPLIERS_FULL_DATA")</f>
        <v/>
      </c>
      <c r="FI5">
        <f>BDS("JNJ US Equity","SUPPLY_CHAIN_CUSTOMERS_FULL_DATA")</f>
        <v/>
      </c>
      <c r="FY5">
        <f>BDS("SPLP US Equity","SUPPLY_CHAIN_SUPPLIERS_FULL_DATA")</f>
        <v/>
      </c>
      <c r="GM5">
        <f>BDS("SPLP US Equity","SUPPLY_CHAIN_CUSTOMERS_FULL_DATA")</f>
        <v/>
      </c>
      <c r="HC5">
        <f>BDS("MFA US Equity","SUPPLY_CHAIN_SUPPLIERS_FULL_DATA")</f>
        <v/>
      </c>
      <c r="HQ5">
        <f>BDS("MFA US Equity","SUPPLY_CHAIN_CUSTOMERS_FULL_DATA")</f>
        <v/>
      </c>
      <c r="IG5">
        <f>BDS("FNB US Equity","SUPPLY_CHAIN_SUPPLIERS_FULL_DATA")</f>
        <v/>
      </c>
      <c r="IU5">
        <f>BDS("FNB US Equity","SUPPLY_CHAIN_CUSTOMERS_FULL_DATA")</f>
        <v/>
      </c>
      <c r="JK5">
        <f>BDS("SUPR US Equity","SUPPLY_CHAIN_SUPPLIERS_FULL_DATA")</f>
        <v/>
      </c>
      <c r="JY5">
        <f>BDS("SUPR US Equity","SUPPLY_CHAIN_CUSTOMERS_FULL_DATA")</f>
        <v/>
      </c>
      <c r="KO5">
        <f>BDS("LAMR US Equity","SUPPLY_CHAIN_SUPPLIERS_FULL_DATA")</f>
        <v/>
      </c>
      <c r="LC5">
        <f>BDS("LAMR US Equity","SUPPLY_CHAIN_CUSTOMERS_FULL_DATA")</f>
        <v/>
      </c>
      <c r="LS5">
        <f>BDS("HTLF US Equity","SUPPLY_CHAIN_SUPPLIERS_FULL_DATA")</f>
        <v/>
      </c>
      <c r="MG5">
        <f>BDS("HTLF US Equity","SUPPLY_CHAIN_CUSTOMERS_FULL_DATA")</f>
        <v/>
      </c>
      <c r="MW5">
        <f>BDS("CSCQ US Equity","SUPPLY_CHAIN_SUPPLIERS_FULL_DATA")</f>
        <v/>
      </c>
      <c r="NK5">
        <f>BDS("CSCQ US Equity","SUPPLY_CHAIN_CUSTOMERS_FULL_DATA")</f>
        <v/>
      </c>
      <c r="OA5">
        <f>BDS("2619871D US Equity","SUPPLY_CHAIN_SUPPLIERS_FULL_DATA")</f>
        <v/>
      </c>
      <c r="OO5">
        <f>BDS("2619871D US Equity","SUPPLY_CHAIN_CUSTOMERS_FULL_DATA")</f>
        <v/>
      </c>
      <c r="PE5">
        <f>BDS("2676187Q US Equity","SUPPLY_CHAIN_SUPPLIERS_FULL_DATA")</f>
        <v/>
      </c>
      <c r="PS5">
        <f>BDS("2676187Q US Equity","SUPPLY_CHAIN_CUSTOMERS_FULL_DATA")</f>
        <v/>
      </c>
      <c r="QI5">
        <f>BDS("FFWM US Equity","SUPPLY_CHAIN_SUPPLIERS_FULL_DATA")</f>
        <v/>
      </c>
      <c r="QW5">
        <f>BDS("FFWM US Equity","SUPPLY_CHAIN_CUSTOMERS_FULL_DATA")</f>
        <v/>
      </c>
      <c r="RM5">
        <f>BDS("FULT US Equity","SUPPLY_CHAIN_SUPPLIERS_FULL_DATA")</f>
        <v/>
      </c>
      <c r="SA5">
        <f>BDS("FULT US Equity","SUPPLY_CHAIN_CUSTOMERS_FULL_DATA")</f>
        <v/>
      </c>
      <c r="SQ5">
        <f>BDS("PRA US Equity","SUPPLY_CHAIN_SUPPLIERS_FULL_DATA")</f>
        <v/>
      </c>
      <c r="TE5">
        <f>BDS("PRA US Equity","SUPPLY_CHAIN_CUSTOMERS_FULL_DATA")</f>
        <v/>
      </c>
      <c r="TU5">
        <f>BDS("FRME US Equity","SUPPLY_CHAIN_SUPPLIERS_FULL_DATA")</f>
        <v/>
      </c>
      <c r="UI5">
        <f>BDS("FRME US Equity","SUPPLY_CHAIN_CUSTOMERS_FULL_DATA")</f>
        <v/>
      </c>
      <c r="UY5">
        <f>BDS("TMWD US Equity","SUPPLY_CHAIN_SUPPLIERS_FULL_DATA")</f>
        <v/>
      </c>
      <c r="VM5">
        <f>BDS("TMWD US Equity","SUPPLY_CHAIN_CUSTOMERS_FULL_DATA")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3761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3762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3763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3764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3765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3766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3767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3768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3769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3770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3771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3772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3773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3774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3775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3776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3777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3778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3779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3780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FNB US Equity</t>
        </is>
      </c>
      <c r="AE2" s="3" t="inlineStr">
        <is>
          <t>GABC US Equity</t>
        </is>
      </c>
      <c r="BI2" s="3" t="inlineStr">
        <is>
          <t>1552309D US Equity</t>
        </is>
      </c>
      <c r="CM2" s="3" t="inlineStr">
        <is>
          <t>DEVC US Equity</t>
        </is>
      </c>
      <c r="DQ2" s="3" t="inlineStr">
        <is>
          <t>JKHY US Equity</t>
        </is>
      </c>
      <c r="EU2" s="3" t="inlineStr">
        <is>
          <t>MGRM US Equity</t>
        </is>
      </c>
      <c r="FY2" s="3" t="inlineStr">
        <is>
          <t>IDPIQ US Equity</t>
        </is>
      </c>
      <c r="HC2" s="3" t="inlineStr">
        <is>
          <t>ONB US Equity</t>
        </is>
      </c>
      <c r="IG2" s="3" t="inlineStr">
        <is>
          <t>WSBC US Equity</t>
        </is>
      </c>
      <c r="JK2" s="3" t="inlineStr">
        <is>
          <t>NIC US Equity</t>
        </is>
      </c>
      <c r="KO2" s="3" t="inlineStr">
        <is>
          <t>SSB US Equity</t>
        </is>
      </c>
      <c r="LS2" s="3" t="inlineStr">
        <is>
          <t>CWT US Equity</t>
        </is>
      </c>
      <c r="MW2" s="3" t="inlineStr">
        <is>
          <t>4612775Q US Equity</t>
        </is>
      </c>
      <c r="OA2" s="3" t="inlineStr">
        <is>
          <t>FSCO US Equity</t>
        </is>
      </c>
      <c r="PE2" s="3" t="inlineStr">
        <is>
          <t>BOKF US Equity</t>
        </is>
      </c>
      <c r="QI2" s="3" t="inlineStr">
        <is>
          <t>BRKL US Equity</t>
        </is>
      </c>
      <c r="RM2" s="3" t="inlineStr">
        <is>
          <t>PILLQ US Equity</t>
        </is>
      </c>
      <c r="SQ2" s="3" t="inlineStr">
        <is>
          <t>BANR US Equity</t>
        </is>
      </c>
      <c r="TU2" s="3" t="inlineStr">
        <is>
          <t>SASR US Equity</t>
        </is>
      </c>
      <c r="UY2" s="3" t="inlineStr">
        <is>
          <t>BRKR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BDS("FNB US Equity","SUPPLY_CHAIN_SUPPLIERS_FULL_DATA")</f>
        <v/>
      </c>
      <c r="O5">
        <f>BDS("FNB US Equity","SUPPLY_CHAIN_CUSTOMERS_FULL_DATA")</f>
        <v/>
      </c>
      <c r="AE5">
        <f>BDS("GABC US Equity","SUPPLY_CHAIN_SUPPLIERS_FULL_DATA")</f>
        <v/>
      </c>
      <c r="AS5">
        <f>BDS("GABC US Equity","SUPPLY_CHAIN_CUSTOMERS_FULL_DATA")</f>
        <v/>
      </c>
      <c r="BI5">
        <f>BDS("1552309D US Equity","SUPPLY_CHAIN_SUPPLIERS_FULL_DATA")</f>
        <v/>
      </c>
      <c r="BW5">
        <f>BDS("1552309D US Equity","SUPPLY_CHAIN_CUSTOMERS_FULL_DATA")</f>
        <v/>
      </c>
      <c r="CM5">
        <f>BDS("DEVC US Equity","SUPPLY_CHAIN_SUPPLIERS_FULL_DATA")</f>
        <v/>
      </c>
      <c r="DA5">
        <f>BDS("DEVC US Equity","SUPPLY_CHAIN_CUSTOMERS_FULL_DATA")</f>
        <v/>
      </c>
      <c r="DQ5">
        <f>BDS("JKHY US Equity","SUPPLY_CHAIN_SUPPLIERS_FULL_DATA")</f>
        <v/>
      </c>
      <c r="EE5">
        <f>BDS("JKHY US Equity","SUPPLY_CHAIN_CUSTOMERS_FULL_DATA")</f>
        <v/>
      </c>
      <c r="EU5">
        <f>BDS("MGRM US Equity","SUPPLY_CHAIN_SUPPLIERS_FULL_DATA")</f>
        <v/>
      </c>
      <c r="FI5">
        <f>BDS("MGRM US Equity","SUPPLY_CHAIN_CUSTOMERS_FULL_DATA")</f>
        <v/>
      </c>
      <c r="FY5">
        <f>BDS("IDPIQ US Equity","SUPPLY_CHAIN_SUPPLIERS_FULL_DATA")</f>
        <v/>
      </c>
      <c r="GM5">
        <f>BDS("IDPIQ US Equity","SUPPLY_CHAIN_CUSTOMERS_FULL_DATA")</f>
        <v/>
      </c>
      <c r="HC5">
        <f>BDS("ONB US Equity","SUPPLY_CHAIN_SUPPLIERS_FULL_DATA")</f>
        <v/>
      </c>
      <c r="HQ5">
        <f>BDS("ONB US Equity","SUPPLY_CHAIN_CUSTOMERS_FULL_DATA")</f>
        <v/>
      </c>
      <c r="IG5">
        <f>BDS("WSBC US Equity","SUPPLY_CHAIN_SUPPLIERS_FULL_DATA")</f>
        <v/>
      </c>
      <c r="IU5">
        <f>BDS("WSBC US Equity","SUPPLY_CHAIN_CUSTOMERS_FULL_DATA")</f>
        <v/>
      </c>
      <c r="JK5">
        <f>BDS("NIC US Equity","SUPPLY_CHAIN_SUPPLIERS_FULL_DATA")</f>
        <v/>
      </c>
      <c r="JY5">
        <f>BDS("NIC US Equity","SUPPLY_CHAIN_CUSTOMERS_FULL_DATA")</f>
        <v/>
      </c>
      <c r="KO5">
        <f>BDS("SSB US Equity","SUPPLY_CHAIN_SUPPLIERS_FULL_DATA")</f>
        <v/>
      </c>
      <c r="LC5">
        <f>BDS("SSB US Equity","SUPPLY_CHAIN_CUSTOMERS_FULL_DATA")</f>
        <v/>
      </c>
      <c r="LS5">
        <f>BDS("CWT US Equity","SUPPLY_CHAIN_SUPPLIERS_FULL_DATA")</f>
        <v/>
      </c>
      <c r="MG5">
        <f>BDS("CWT US Equity","SUPPLY_CHAIN_CUSTOMERS_FULL_DATA")</f>
        <v/>
      </c>
      <c r="MW5">
        <f>BDS("4612775Q US Equity","SUPPLY_CHAIN_SUPPLIERS_FULL_DATA")</f>
        <v/>
      </c>
      <c r="NK5">
        <f>BDS("4612775Q US Equity","SUPPLY_CHAIN_CUSTOMERS_FULL_DATA")</f>
        <v/>
      </c>
      <c r="OA5">
        <f>BDS("FSCO US Equity","SUPPLY_CHAIN_SUPPLIERS_FULL_DATA")</f>
        <v/>
      </c>
      <c r="OO5">
        <f>BDS("FSCO US Equity","SUPPLY_CHAIN_CUSTOMERS_FULL_DATA")</f>
        <v/>
      </c>
      <c r="PE5">
        <f>BDS("BOKF US Equity","SUPPLY_CHAIN_SUPPLIERS_FULL_DATA")</f>
        <v/>
      </c>
      <c r="PS5">
        <f>BDS("BOKF US Equity","SUPPLY_CHAIN_CUSTOMERS_FULL_DATA")</f>
        <v/>
      </c>
      <c r="QI5">
        <f>BDS("BRKL US Equity","SUPPLY_CHAIN_SUPPLIERS_FULL_DATA")</f>
        <v/>
      </c>
      <c r="QW5">
        <f>BDS("BRKL US Equity","SUPPLY_CHAIN_CUSTOMERS_FULL_DATA")</f>
        <v/>
      </c>
      <c r="RM5">
        <f>BDS("PILLQ US Equity","SUPPLY_CHAIN_SUPPLIERS_FULL_DATA")</f>
        <v/>
      </c>
      <c r="SA5">
        <f>BDS("PILLQ US Equity","SUPPLY_CHAIN_CUSTOMERS_FULL_DATA")</f>
        <v/>
      </c>
      <c r="SQ5">
        <f>BDS("BANR US Equity","SUPPLY_CHAIN_SUPPLIERS_FULL_DATA")</f>
        <v/>
      </c>
      <c r="TE5">
        <f>BDS("BANR US Equity","SUPPLY_CHAIN_CUSTOMERS_FULL_DATA")</f>
        <v/>
      </c>
      <c r="TU5">
        <f>BDS("SASR US Equity","SUPPLY_CHAIN_SUPPLIERS_FULL_DATA")</f>
        <v/>
      </c>
      <c r="UI5">
        <f>BDS("SASR US Equity","SUPPLY_CHAIN_CUSTOMERS_FULL_DATA")</f>
        <v/>
      </c>
      <c r="UY5">
        <f>BDS("BRKR US Equity","SUPPLY_CHAIN_SUPPLIERS_FULL_DATA")</f>
        <v/>
      </c>
      <c r="VM5">
        <f>BDS("BRKR US Equity","SUPPLY_CHAIN_CUSTOMERS_FULL_DATA")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3781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3782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3783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3784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3785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3786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3787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3788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3789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3790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3791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3792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3793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3794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3795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3796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3797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3798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3799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3800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AB US Equity</t>
        </is>
      </c>
      <c r="AE2" s="3" t="inlineStr">
        <is>
          <t>1709056D US Equity</t>
        </is>
      </c>
      <c r="BI2" s="3" t="inlineStr">
        <is>
          <t>CIVB US Equity</t>
        </is>
      </c>
      <c r="CM2" s="3" t="inlineStr">
        <is>
          <t>SNBC US Equity</t>
        </is>
      </c>
      <c r="DQ2" s="3" t="inlineStr">
        <is>
          <t>JAKK US Equity</t>
        </is>
      </c>
      <c r="EU2" s="3" t="inlineStr">
        <is>
          <t>BSX US Equity</t>
        </is>
      </c>
      <c r="FY2" s="3" t="inlineStr">
        <is>
          <t>3097837Q US Equity</t>
        </is>
      </c>
      <c r="HC2" s="3" t="inlineStr">
        <is>
          <t>991592Q US Equity</t>
        </is>
      </c>
      <c r="IG2" s="3" t="inlineStr">
        <is>
          <t>2309719Q US Equity</t>
        </is>
      </c>
      <c r="JK2" s="3" t="inlineStr">
        <is>
          <t>LBAI US Equity</t>
        </is>
      </c>
      <c r="KO2" s="3" t="inlineStr">
        <is>
          <t>CDNW US Equity</t>
        </is>
      </c>
      <c r="LS2" s="3" t="inlineStr">
        <is>
          <t>UBSI US Equity</t>
        </is>
      </c>
      <c r="MW2" s="3" t="inlineStr">
        <is>
          <t>HL US Equity</t>
        </is>
      </c>
      <c r="OA2" s="3" t="inlineStr">
        <is>
          <t>ON US Equity</t>
        </is>
      </c>
      <c r="PE2" s="3" t="inlineStr">
        <is>
          <t>OPLN US Equity</t>
        </is>
      </c>
      <c r="QI2" s="3" t="inlineStr">
        <is>
          <t>SIFI US Equity</t>
        </is>
      </c>
      <c r="RM2" s="3" t="inlineStr">
        <is>
          <t>DHR US Equity</t>
        </is>
      </c>
      <c r="SQ2" s="3" t="inlineStr">
        <is>
          <t>TWAV US Equity</t>
        </is>
      </c>
      <c r="TU2" s="3" t="inlineStr">
        <is>
          <t>EQY US Equity</t>
        </is>
      </c>
      <c r="UY2" s="3" t="inlineStr">
        <is>
          <t>LTWO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BDS("AB US Equity","SUPPLY_CHAIN_SUPPLIERS_FULL_DATA")</f>
        <v/>
      </c>
      <c r="O5">
        <f>BDS("AB US Equity","SUPPLY_CHAIN_CUSTOMERS_FULL_DATA")</f>
        <v/>
      </c>
      <c r="AE5">
        <f>BDS("1709056D US Equity","SUPPLY_CHAIN_SUPPLIERS_FULL_DATA")</f>
        <v/>
      </c>
      <c r="AS5">
        <f>BDS("1709056D US Equity","SUPPLY_CHAIN_CUSTOMERS_FULL_DATA")</f>
        <v/>
      </c>
      <c r="BI5">
        <f>BDS("CIVB US Equity","SUPPLY_CHAIN_SUPPLIERS_FULL_DATA")</f>
        <v/>
      </c>
      <c r="BW5">
        <f>BDS("CIVB US Equity","SUPPLY_CHAIN_CUSTOMERS_FULL_DATA")</f>
        <v/>
      </c>
      <c r="CM5">
        <f>BDS("SNBC US Equity","SUPPLY_CHAIN_SUPPLIERS_FULL_DATA")</f>
        <v/>
      </c>
      <c r="DA5">
        <f>BDS("SNBC US Equity","SUPPLY_CHAIN_CUSTOMERS_FULL_DATA")</f>
        <v/>
      </c>
      <c r="DQ5">
        <f>BDS("JAKK US Equity","SUPPLY_CHAIN_SUPPLIERS_FULL_DATA")</f>
        <v/>
      </c>
      <c r="EE5">
        <f>BDS("JAKK US Equity","SUPPLY_CHAIN_CUSTOMERS_FULL_DATA")</f>
        <v/>
      </c>
      <c r="EU5">
        <f>BDS("BSX US Equity","SUPPLY_CHAIN_SUPPLIERS_FULL_DATA")</f>
        <v/>
      </c>
      <c r="FI5">
        <f>BDS("BSX US Equity","SUPPLY_CHAIN_CUSTOMERS_FULL_DATA")</f>
        <v/>
      </c>
      <c r="FY5">
        <f>BDS("3097837Q US Equity","SUPPLY_CHAIN_SUPPLIERS_FULL_DATA")</f>
        <v/>
      </c>
      <c r="GM5">
        <f>BDS("3097837Q US Equity","SUPPLY_CHAIN_CUSTOMERS_FULL_DATA")</f>
        <v/>
      </c>
      <c r="HC5">
        <f>BDS("991592Q US Equity","SUPPLY_CHAIN_SUPPLIERS_FULL_DATA")</f>
        <v/>
      </c>
      <c r="HQ5">
        <f>BDS("991592Q US Equity","SUPPLY_CHAIN_CUSTOMERS_FULL_DATA")</f>
        <v/>
      </c>
      <c r="IG5">
        <f>BDS("2309719Q US Equity","SUPPLY_CHAIN_SUPPLIERS_FULL_DATA")</f>
        <v/>
      </c>
      <c r="IU5">
        <f>BDS("2309719Q US Equity","SUPPLY_CHAIN_CUSTOMERS_FULL_DATA")</f>
        <v/>
      </c>
      <c r="JK5">
        <f>BDS("LBAI US Equity","SUPPLY_CHAIN_SUPPLIERS_FULL_DATA")</f>
        <v/>
      </c>
      <c r="JY5">
        <f>BDS("LBAI US Equity","SUPPLY_CHAIN_CUSTOMERS_FULL_DATA")</f>
        <v/>
      </c>
      <c r="KO5">
        <f>BDS("CDNW US Equity","SUPPLY_CHAIN_SUPPLIERS_FULL_DATA")</f>
        <v/>
      </c>
      <c r="LC5">
        <f>BDS("CDNW US Equity","SUPPLY_CHAIN_CUSTOMERS_FULL_DATA")</f>
        <v/>
      </c>
      <c r="LS5">
        <f>BDS("UBSI US Equity","SUPPLY_CHAIN_SUPPLIERS_FULL_DATA")</f>
        <v/>
      </c>
      <c r="MG5">
        <f>BDS("UBSI US Equity","SUPPLY_CHAIN_CUSTOMERS_FULL_DATA")</f>
        <v/>
      </c>
      <c r="MW5">
        <f>BDS("HL US Equity","SUPPLY_CHAIN_SUPPLIERS_FULL_DATA")</f>
        <v/>
      </c>
      <c r="NK5">
        <f>BDS("HL US Equity","SUPPLY_CHAIN_CUSTOMERS_FULL_DATA")</f>
        <v/>
      </c>
      <c r="OA5">
        <f>BDS("ON US Equity","SUPPLY_CHAIN_SUPPLIERS_FULL_DATA")</f>
        <v/>
      </c>
      <c r="OO5">
        <f>BDS("ON US Equity","SUPPLY_CHAIN_CUSTOMERS_FULL_DATA")</f>
        <v/>
      </c>
      <c r="PE5">
        <f>BDS("OPLN US Equity","SUPPLY_CHAIN_SUPPLIERS_FULL_DATA")</f>
        <v/>
      </c>
      <c r="PS5">
        <f>BDS("OPLN US Equity","SUPPLY_CHAIN_CUSTOMERS_FULL_DATA")</f>
        <v/>
      </c>
      <c r="QI5">
        <f>BDS("SIFI US Equity","SUPPLY_CHAIN_SUPPLIERS_FULL_DATA")</f>
        <v/>
      </c>
      <c r="QW5">
        <f>BDS("SIFI US Equity","SUPPLY_CHAIN_CUSTOMERS_FULL_DATA")</f>
        <v/>
      </c>
      <c r="RM5">
        <f>BDS("DHR US Equity","SUPPLY_CHAIN_SUPPLIERS_FULL_DATA")</f>
        <v/>
      </c>
      <c r="SA5">
        <f>BDS("DHR US Equity","SUPPLY_CHAIN_CUSTOMERS_FULL_DATA")</f>
        <v/>
      </c>
      <c r="SQ5">
        <f>BDS("TWAV US Equity","SUPPLY_CHAIN_SUPPLIERS_FULL_DATA")</f>
        <v/>
      </c>
      <c r="TE5">
        <f>BDS("TWAV US Equity","SUPPLY_CHAIN_CUSTOMERS_FULL_DATA")</f>
        <v/>
      </c>
      <c r="TU5">
        <f>BDS("EQY US Equity","SUPPLY_CHAIN_SUPPLIERS_FULL_DATA")</f>
        <v/>
      </c>
      <c r="UI5">
        <f>BDS("EQY US Equity","SUPPLY_CHAIN_CUSTOMERS_FULL_DATA")</f>
        <v/>
      </c>
      <c r="UY5">
        <f>BDS("LTWO US Equity","SUPPLY_CHAIN_SUPPLIERS_FULL_DATA")</f>
        <v/>
      </c>
      <c r="VM5">
        <f>BDS("LTWO US Equity","SUPPLY_CHAIN_CUSTOMERS_FULL_DATA")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3801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3802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3803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3804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3805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3806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3807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3808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3809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3810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3811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3812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3813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3814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3815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3816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3817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3818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3819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3820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TXN US Equity</t>
        </is>
      </c>
      <c r="AE2" s="3" t="inlineStr">
        <is>
          <t>EFX US Equity</t>
        </is>
      </c>
      <c r="BI2" s="3" t="inlineStr">
        <is>
          <t>TCI US Equity</t>
        </is>
      </c>
      <c r="CM2" s="3" t="inlineStr">
        <is>
          <t>VLY US Equity</t>
        </is>
      </c>
      <c r="DQ2" s="3" t="inlineStr">
        <is>
          <t>KRNY US Equity</t>
        </is>
      </c>
      <c r="EU2" s="3" t="inlineStr">
        <is>
          <t>RILY US Equity</t>
        </is>
      </c>
      <c r="FY2" s="3" t="inlineStr">
        <is>
          <t>ESIC US Equity</t>
        </is>
      </c>
      <c r="HC2" s="3" t="inlineStr">
        <is>
          <t>UNH US Equity</t>
        </is>
      </c>
      <c r="IG2" s="3" t="inlineStr">
        <is>
          <t>ROP US Equity</t>
        </is>
      </c>
      <c r="JK2" s="3" t="inlineStr">
        <is>
          <t>CNOB US Equity</t>
        </is>
      </c>
      <c r="KO2" s="3" t="inlineStr">
        <is>
          <t>2740937Q US Equity</t>
        </is>
      </c>
      <c r="LS2" s="3" t="inlineStr">
        <is>
          <t>DNBK US Equity</t>
        </is>
      </c>
      <c r="MW2" s="3" t="inlineStr">
        <is>
          <t>FISI US Equity</t>
        </is>
      </c>
      <c r="OA2" s="3" t="inlineStr">
        <is>
          <t>SNV US Equity</t>
        </is>
      </c>
      <c r="PE2" s="3" t="inlineStr">
        <is>
          <t>IBCP US Equity</t>
        </is>
      </c>
      <c r="QI2" s="3" t="inlineStr">
        <is>
          <t>NWBD US Equity</t>
        </is>
      </c>
      <c r="RM2" s="3" t="inlineStr">
        <is>
          <t>KEY US Equity</t>
        </is>
      </c>
      <c r="SQ2" s="3" t="inlineStr">
        <is>
          <t>FRME US Equity</t>
        </is>
      </c>
      <c r="TU2" s="3" t="inlineStr">
        <is>
          <t>2641504Q US Equity</t>
        </is>
      </c>
      <c r="UY2" s="3" t="inlineStr">
        <is>
          <t>ISBC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BDS("TXN US Equity","SUPPLY_CHAIN_SUPPLIERS_FULL_DATA")</f>
        <v/>
      </c>
      <c r="O5">
        <f>BDS("TXN US Equity","SUPPLY_CHAIN_CUSTOMERS_FULL_DATA")</f>
        <v/>
      </c>
      <c r="AE5">
        <f>BDS("EFX US Equity","SUPPLY_CHAIN_SUPPLIERS_FULL_DATA")</f>
        <v/>
      </c>
      <c r="AS5">
        <f>BDS("EFX US Equity","SUPPLY_CHAIN_CUSTOMERS_FULL_DATA")</f>
        <v/>
      </c>
      <c r="BI5">
        <f>BDS("TCI US Equity","SUPPLY_CHAIN_SUPPLIERS_FULL_DATA")</f>
        <v/>
      </c>
      <c r="BW5">
        <f>BDS("TCI US Equity","SUPPLY_CHAIN_CUSTOMERS_FULL_DATA")</f>
        <v/>
      </c>
      <c r="CM5">
        <f>BDS("VLY US Equity","SUPPLY_CHAIN_SUPPLIERS_FULL_DATA")</f>
        <v/>
      </c>
      <c r="DA5">
        <f>BDS("VLY US Equity","SUPPLY_CHAIN_CUSTOMERS_FULL_DATA")</f>
        <v/>
      </c>
      <c r="DQ5">
        <f>BDS("KRNY US Equity","SUPPLY_CHAIN_SUPPLIERS_FULL_DATA")</f>
        <v/>
      </c>
      <c r="EE5">
        <f>BDS("KRNY US Equity","SUPPLY_CHAIN_CUSTOMERS_FULL_DATA")</f>
        <v/>
      </c>
      <c r="EU5">
        <f>BDS("RILY US Equity","SUPPLY_CHAIN_SUPPLIERS_FULL_DATA")</f>
        <v/>
      </c>
      <c r="FI5">
        <f>BDS("RILY US Equity","SUPPLY_CHAIN_CUSTOMERS_FULL_DATA")</f>
        <v/>
      </c>
      <c r="FY5">
        <f>BDS("ESIC US Equity","SUPPLY_CHAIN_SUPPLIERS_FULL_DATA")</f>
        <v/>
      </c>
      <c r="GM5">
        <f>BDS("ESIC US Equity","SUPPLY_CHAIN_CUSTOMERS_FULL_DATA")</f>
        <v/>
      </c>
      <c r="HC5">
        <f>BDS("UNH US Equity","SUPPLY_CHAIN_SUPPLIERS_FULL_DATA")</f>
        <v/>
      </c>
      <c r="HQ5">
        <f>BDS("UNH US Equity","SUPPLY_CHAIN_CUSTOMERS_FULL_DATA")</f>
        <v/>
      </c>
      <c r="IG5">
        <f>BDS("ROP US Equity","SUPPLY_CHAIN_SUPPLIERS_FULL_DATA")</f>
        <v/>
      </c>
      <c r="IU5">
        <f>BDS("ROP US Equity","SUPPLY_CHAIN_CUSTOMERS_FULL_DATA")</f>
        <v/>
      </c>
      <c r="JK5">
        <f>BDS("CNOB US Equity","SUPPLY_CHAIN_SUPPLIERS_FULL_DATA")</f>
        <v/>
      </c>
      <c r="JY5">
        <f>BDS("CNOB US Equity","SUPPLY_CHAIN_CUSTOMERS_FULL_DATA")</f>
        <v/>
      </c>
      <c r="KO5">
        <f>BDS("2740937Q US Equity","SUPPLY_CHAIN_SUPPLIERS_FULL_DATA")</f>
        <v/>
      </c>
      <c r="LC5">
        <f>BDS("2740937Q US Equity","SUPPLY_CHAIN_CUSTOMERS_FULL_DATA")</f>
        <v/>
      </c>
      <c r="LS5">
        <f>BDS("DNBK US Equity","SUPPLY_CHAIN_SUPPLIERS_FULL_DATA")</f>
        <v/>
      </c>
      <c r="MG5">
        <f>BDS("DNBK US Equity","SUPPLY_CHAIN_CUSTOMERS_FULL_DATA")</f>
        <v/>
      </c>
      <c r="MW5">
        <f>BDS("FISI US Equity","SUPPLY_CHAIN_SUPPLIERS_FULL_DATA")</f>
        <v/>
      </c>
      <c r="NK5">
        <f>BDS("FISI US Equity","SUPPLY_CHAIN_CUSTOMERS_FULL_DATA")</f>
        <v/>
      </c>
      <c r="OA5">
        <f>BDS("SNV US Equity","SUPPLY_CHAIN_SUPPLIERS_FULL_DATA")</f>
        <v/>
      </c>
      <c r="OO5">
        <f>BDS("SNV US Equity","SUPPLY_CHAIN_CUSTOMERS_FULL_DATA")</f>
        <v/>
      </c>
      <c r="PE5">
        <f>BDS("IBCP US Equity","SUPPLY_CHAIN_SUPPLIERS_FULL_DATA")</f>
        <v/>
      </c>
      <c r="PS5">
        <f>BDS("IBCP US Equity","SUPPLY_CHAIN_CUSTOMERS_FULL_DATA")</f>
        <v/>
      </c>
      <c r="QI5">
        <f>BDS("NWBD US Equity","SUPPLY_CHAIN_SUPPLIERS_FULL_DATA")</f>
        <v/>
      </c>
      <c r="QW5">
        <f>BDS("NWBD US Equity","SUPPLY_CHAIN_CUSTOMERS_FULL_DATA")</f>
        <v/>
      </c>
      <c r="RM5">
        <f>BDS("KEY US Equity","SUPPLY_CHAIN_SUPPLIERS_FULL_DATA")</f>
        <v/>
      </c>
      <c r="SA5">
        <f>BDS("KEY US Equity","SUPPLY_CHAIN_CUSTOMERS_FULL_DATA")</f>
        <v/>
      </c>
      <c r="SQ5">
        <f>BDS("FRME US Equity","SUPPLY_CHAIN_SUPPLIERS_FULL_DATA")</f>
        <v/>
      </c>
      <c r="TE5">
        <f>BDS("FRME US Equity","SUPPLY_CHAIN_CUSTOMERS_FULL_DATA")</f>
        <v/>
      </c>
      <c r="TU5">
        <f>BDS("2641504Q US Equity","SUPPLY_CHAIN_SUPPLIERS_FULL_DATA")</f>
        <v/>
      </c>
      <c r="UI5">
        <f>BDS("2641504Q US Equity","SUPPLY_CHAIN_CUSTOMERS_FULL_DATA")</f>
        <v/>
      </c>
      <c r="UY5">
        <f>BDS("ISBC US Equity","SUPPLY_CHAIN_SUPPLIERS_FULL_DATA")</f>
        <v/>
      </c>
      <c r="VM5">
        <f>BDS("ISBC US Equity","SUPPLY_CHAIN_CUSTOMERS_FULL_DATA")</f>
        <v/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3821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3822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3823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3824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3825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3826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3827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3828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3829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3830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3831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3832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3833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3834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3835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3836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3837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3838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3839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3840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1822785D US Equity</t>
        </is>
      </c>
      <c r="AE2" s="3" t="inlineStr">
        <is>
          <t>UB US Equity</t>
        </is>
      </c>
      <c r="BI2" s="3" t="inlineStr">
        <is>
          <t>AGATQ US Equity</t>
        </is>
      </c>
      <c r="CM2" s="3" t="inlineStr">
        <is>
          <t>812489Q US Equity</t>
        </is>
      </c>
      <c r="DQ2" s="3" t="inlineStr">
        <is>
          <t>FEIC US Equity</t>
        </is>
      </c>
      <c r="EU2" s="3" t="inlineStr">
        <is>
          <t>WYPT US Equity</t>
        </is>
      </c>
      <c r="FY2" s="3" t="inlineStr">
        <is>
          <t>FUR US Equity</t>
        </is>
      </c>
      <c r="HC2" s="3" t="inlineStr">
        <is>
          <t>CLDX US Equity</t>
        </is>
      </c>
      <c r="IG2" s="3" t="inlineStr">
        <is>
          <t>WTNY US Equity</t>
        </is>
      </c>
      <c r="JK2" s="3" t="inlineStr">
        <is>
          <t>HU US Equity</t>
        </is>
      </c>
      <c r="KO2" s="3" t="inlineStr">
        <is>
          <t>CMD US Equity</t>
        </is>
      </c>
      <c r="LS2" s="3" t="inlineStr">
        <is>
          <t>KIM US Equity</t>
        </is>
      </c>
      <c r="MW2" s="3" t="inlineStr">
        <is>
          <t>MDDS US Equity</t>
        </is>
      </c>
      <c r="OA2" s="3" t="inlineStr">
        <is>
          <t>VABK US Equity</t>
        </is>
      </c>
      <c r="PE2" s="3" t="inlineStr">
        <is>
          <t>1436225D US Equity</t>
        </is>
      </c>
      <c r="QI2" s="3" t="inlineStr">
        <is>
          <t>CCTX US Equity</t>
        </is>
      </c>
      <c r="RM2" s="3" t="inlineStr">
        <is>
          <t>PFC US Equity</t>
        </is>
      </c>
      <c r="SQ2" s="3" t="inlineStr">
        <is>
          <t>CBCGQ US Equity</t>
        </is>
      </c>
      <c r="TU2" s="3" t="inlineStr">
        <is>
          <t>NFBK US Equity</t>
        </is>
      </c>
      <c r="UY2" s="3" t="inlineStr">
        <is>
          <t>1339658D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BDS("1822785D US Equity","SUPPLY_CHAIN_SUPPLIERS_FULL_DATA")</f>
        <v/>
      </c>
      <c r="O5">
        <f>BDS("1822785D US Equity","SUPPLY_CHAIN_CUSTOMERS_FULL_DATA")</f>
        <v/>
      </c>
      <c r="AE5">
        <f>BDS("UB US Equity","SUPPLY_CHAIN_SUPPLIERS_FULL_DATA")</f>
        <v/>
      </c>
      <c r="AS5">
        <f>BDS("UB US Equity","SUPPLY_CHAIN_CUSTOMERS_FULL_DATA")</f>
        <v/>
      </c>
      <c r="BI5">
        <f>BDS("AGATQ US Equity","SUPPLY_CHAIN_SUPPLIERS_FULL_DATA")</f>
        <v/>
      </c>
      <c r="BW5">
        <f>BDS("AGATQ US Equity","SUPPLY_CHAIN_CUSTOMERS_FULL_DATA")</f>
        <v/>
      </c>
      <c r="CM5">
        <f>BDS("812489Q US Equity","SUPPLY_CHAIN_SUPPLIERS_FULL_DATA")</f>
        <v/>
      </c>
      <c r="DA5">
        <f>BDS("812489Q US Equity","SUPPLY_CHAIN_CUSTOMERS_FULL_DATA")</f>
        <v/>
      </c>
      <c r="DQ5">
        <f>BDS("FEIC US Equity","SUPPLY_CHAIN_SUPPLIERS_FULL_DATA")</f>
        <v/>
      </c>
      <c r="EE5">
        <f>BDS("FEIC US Equity","SUPPLY_CHAIN_CUSTOMERS_FULL_DATA")</f>
        <v/>
      </c>
      <c r="EU5">
        <f>BDS("WYPT US Equity","SUPPLY_CHAIN_SUPPLIERS_FULL_DATA")</f>
        <v/>
      </c>
      <c r="FI5">
        <f>BDS("WYPT US Equity","SUPPLY_CHAIN_CUSTOMERS_FULL_DATA")</f>
        <v/>
      </c>
      <c r="FY5">
        <f>BDS("FUR US Equity","SUPPLY_CHAIN_SUPPLIERS_FULL_DATA")</f>
        <v/>
      </c>
      <c r="GM5">
        <f>BDS("FUR US Equity","SUPPLY_CHAIN_CUSTOMERS_FULL_DATA")</f>
        <v/>
      </c>
      <c r="HC5">
        <f>BDS("CLDX US Equity","SUPPLY_CHAIN_SUPPLIERS_FULL_DATA")</f>
        <v/>
      </c>
      <c r="HQ5">
        <f>BDS("CLDX US Equity","SUPPLY_CHAIN_CUSTOMERS_FULL_DATA")</f>
        <v/>
      </c>
      <c r="IG5">
        <f>BDS("WTNY US Equity","SUPPLY_CHAIN_SUPPLIERS_FULL_DATA")</f>
        <v/>
      </c>
      <c r="IU5">
        <f>BDS("WTNY US Equity","SUPPLY_CHAIN_CUSTOMERS_FULL_DATA")</f>
        <v/>
      </c>
      <c r="JK5">
        <f>BDS("HU US Equity","SUPPLY_CHAIN_SUPPLIERS_FULL_DATA")</f>
        <v/>
      </c>
      <c r="JY5">
        <f>BDS("HU US Equity","SUPPLY_CHAIN_CUSTOMERS_FULL_DATA")</f>
        <v/>
      </c>
      <c r="KO5">
        <f>BDS("CMD US Equity","SUPPLY_CHAIN_SUPPLIERS_FULL_DATA")</f>
        <v/>
      </c>
      <c r="LC5">
        <f>BDS("CMD US Equity","SUPPLY_CHAIN_CUSTOMERS_FULL_DATA")</f>
        <v/>
      </c>
      <c r="LS5">
        <f>BDS("KIM US Equity","SUPPLY_CHAIN_SUPPLIERS_FULL_DATA")</f>
        <v/>
      </c>
      <c r="MG5">
        <f>BDS("KIM US Equity","SUPPLY_CHAIN_CUSTOMERS_FULL_DATA")</f>
        <v/>
      </c>
      <c r="MW5">
        <f>BDS("MDDS US Equity","SUPPLY_CHAIN_SUPPLIERS_FULL_DATA")</f>
        <v/>
      </c>
      <c r="NK5">
        <f>BDS("MDDS US Equity","SUPPLY_CHAIN_CUSTOMERS_FULL_DATA")</f>
        <v/>
      </c>
      <c r="OA5">
        <f>BDS("VABK US Equity","SUPPLY_CHAIN_SUPPLIERS_FULL_DATA")</f>
        <v/>
      </c>
      <c r="OO5">
        <f>BDS("VABK US Equity","SUPPLY_CHAIN_CUSTOMERS_FULL_DATA")</f>
        <v/>
      </c>
      <c r="PE5">
        <f>BDS("1436225D US Equity","SUPPLY_CHAIN_SUPPLIERS_FULL_DATA")</f>
        <v/>
      </c>
      <c r="PS5">
        <f>BDS("1436225D US Equity","SUPPLY_CHAIN_CUSTOMERS_FULL_DATA")</f>
        <v/>
      </c>
      <c r="QI5">
        <f>BDS("CCTX US Equity","SUPPLY_CHAIN_SUPPLIERS_FULL_DATA")</f>
        <v/>
      </c>
      <c r="QW5">
        <f>BDS("CCTX US Equity","SUPPLY_CHAIN_CUSTOMERS_FULL_DATA")</f>
        <v/>
      </c>
      <c r="RM5">
        <f>BDS("PFC US Equity","SUPPLY_CHAIN_SUPPLIERS_FULL_DATA")</f>
        <v/>
      </c>
      <c r="SA5">
        <f>BDS("PFC US Equity","SUPPLY_CHAIN_CUSTOMERS_FULL_DATA")</f>
        <v/>
      </c>
      <c r="SQ5">
        <f>BDS("CBCGQ US Equity","SUPPLY_CHAIN_SUPPLIERS_FULL_DATA")</f>
        <v/>
      </c>
      <c r="TE5">
        <f>BDS("CBCGQ US Equity","SUPPLY_CHAIN_CUSTOMERS_FULL_DATA")</f>
        <v/>
      </c>
      <c r="TU5">
        <f>BDS("NFBK US Equity","SUPPLY_CHAIN_SUPPLIERS_FULL_DATA")</f>
        <v/>
      </c>
      <c r="UI5">
        <f>BDS("NFBK US Equity","SUPPLY_CHAIN_CUSTOMERS_FULL_DATA")</f>
        <v/>
      </c>
      <c r="UY5">
        <f>BDS("1339658D US Equity","SUPPLY_CHAIN_SUPPLIERS_FULL_DATA")</f>
        <v/>
      </c>
      <c r="VM5">
        <f>BDS("1339658D US Equity","SUPPLY_CHAIN_CUSTOMERS_FULL_DATA")</f>
        <v/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3841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3842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3843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3844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3845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3846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3847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3848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3849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3850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3851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3852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3853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3854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3855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3856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3857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3858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3859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3860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DVINQ US Equity</t>
        </is>
      </c>
      <c r="AE2" s="3" t="inlineStr">
        <is>
          <t>DHR US Equity</t>
        </is>
      </c>
      <c r="BI2" s="3" t="inlineStr">
        <is>
          <t>DENTQ US Equity</t>
        </is>
      </c>
      <c r="CM2" s="3" t="inlineStr">
        <is>
          <t>EBIXQ US Equity</t>
        </is>
      </c>
      <c r="DQ2" s="3" t="inlineStr">
        <is>
          <t>838969Q US Equity</t>
        </is>
      </c>
      <c r="EU2" s="3" t="inlineStr">
        <is>
          <t>3372216Q US Equity</t>
        </is>
      </c>
      <c r="FY2" s="3" t="inlineStr">
        <is>
          <t>VLO US Equity</t>
        </is>
      </c>
      <c r="HC2" s="3" t="inlineStr">
        <is>
          <t>BVH US Equity</t>
        </is>
      </c>
      <c r="IG2" s="3" t="inlineStr">
        <is>
          <t>NKLAQ US Equity</t>
        </is>
      </c>
      <c r="JK2" s="3" t="inlineStr">
        <is>
          <t>HTBK US Equity</t>
        </is>
      </c>
      <c r="KO2" s="3" t="inlineStr">
        <is>
          <t>MCHB US Equity</t>
        </is>
      </c>
      <c r="LS2" s="3" t="inlineStr">
        <is>
          <t>RVTY US Equity</t>
        </is>
      </c>
      <c r="MW2" s="3" t="inlineStr">
        <is>
          <t>MFE US Equity</t>
        </is>
      </c>
      <c r="OA2" s="3" t="inlineStr">
        <is>
          <t>nan Equity</t>
        </is>
      </c>
      <c r="PE2" s="3" t="inlineStr">
        <is>
          <t>3414924Q US Equity</t>
        </is>
      </c>
      <c r="QI2" s="3" t="inlineStr">
        <is>
          <t>BMS US Equity</t>
        </is>
      </c>
      <c r="RM2" s="3" t="inlineStr">
        <is>
          <t>PBCT US Equity</t>
        </is>
      </c>
      <c r="SQ2" s="3" t="inlineStr">
        <is>
          <t>FNFG US Equity</t>
        </is>
      </c>
      <c r="TU2" s="3" t="inlineStr">
        <is>
          <t>COLB US Equity</t>
        </is>
      </c>
      <c r="UY2" s="3" t="inlineStr">
        <is>
          <t>TMO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BDS("DVINQ US Equity","SUPPLY_CHAIN_SUPPLIERS_FULL_DATA")</f>
        <v/>
      </c>
      <c r="O5">
        <f>BDS("DVINQ US Equity","SUPPLY_CHAIN_CUSTOMERS_FULL_DATA")</f>
        <v/>
      </c>
      <c r="AE5">
        <f>BDS("DHR US Equity","SUPPLY_CHAIN_SUPPLIERS_FULL_DATA")</f>
        <v/>
      </c>
      <c r="AS5">
        <f>BDS("DHR US Equity","SUPPLY_CHAIN_CUSTOMERS_FULL_DATA")</f>
        <v/>
      </c>
      <c r="BI5">
        <f>BDS("DENTQ US Equity","SUPPLY_CHAIN_SUPPLIERS_FULL_DATA")</f>
        <v/>
      </c>
      <c r="BW5">
        <f>BDS("DENTQ US Equity","SUPPLY_CHAIN_CUSTOMERS_FULL_DATA")</f>
        <v/>
      </c>
      <c r="CM5">
        <f>BDS("EBIXQ US Equity","SUPPLY_CHAIN_SUPPLIERS_FULL_DATA")</f>
        <v/>
      </c>
      <c r="DA5">
        <f>BDS("EBIXQ US Equity","SUPPLY_CHAIN_CUSTOMERS_FULL_DATA")</f>
        <v/>
      </c>
      <c r="DQ5">
        <f>BDS("838969Q US Equity","SUPPLY_CHAIN_SUPPLIERS_FULL_DATA")</f>
        <v/>
      </c>
      <c r="EE5">
        <f>BDS("838969Q US Equity","SUPPLY_CHAIN_CUSTOMERS_FULL_DATA")</f>
        <v/>
      </c>
      <c r="EU5">
        <f>BDS("3372216Q US Equity","SUPPLY_CHAIN_SUPPLIERS_FULL_DATA")</f>
        <v/>
      </c>
      <c r="FI5">
        <f>BDS("3372216Q US Equity","SUPPLY_CHAIN_CUSTOMERS_FULL_DATA")</f>
        <v/>
      </c>
      <c r="FY5">
        <f>BDS("VLO US Equity","SUPPLY_CHAIN_SUPPLIERS_FULL_DATA")</f>
        <v/>
      </c>
      <c r="GM5">
        <f>BDS("VLO US Equity","SUPPLY_CHAIN_CUSTOMERS_FULL_DATA")</f>
        <v/>
      </c>
      <c r="HC5">
        <f>BDS("BVH US Equity","SUPPLY_CHAIN_SUPPLIERS_FULL_DATA")</f>
        <v/>
      </c>
      <c r="HQ5">
        <f>BDS("BVH US Equity","SUPPLY_CHAIN_CUSTOMERS_FULL_DATA")</f>
        <v/>
      </c>
      <c r="IG5">
        <f>BDS("NKLAQ US Equity","SUPPLY_CHAIN_SUPPLIERS_FULL_DATA")</f>
        <v/>
      </c>
      <c r="IU5">
        <f>BDS("NKLAQ US Equity","SUPPLY_CHAIN_CUSTOMERS_FULL_DATA")</f>
        <v/>
      </c>
      <c r="JK5">
        <f>BDS("HTBK US Equity","SUPPLY_CHAIN_SUPPLIERS_FULL_DATA")</f>
        <v/>
      </c>
      <c r="JY5">
        <f>BDS("HTBK US Equity","SUPPLY_CHAIN_CUSTOMERS_FULL_DATA")</f>
        <v/>
      </c>
      <c r="KO5">
        <f>BDS("MCHB US Equity","SUPPLY_CHAIN_SUPPLIERS_FULL_DATA")</f>
        <v/>
      </c>
      <c r="LC5">
        <f>BDS("MCHB US Equity","SUPPLY_CHAIN_CUSTOMERS_FULL_DATA")</f>
        <v/>
      </c>
      <c r="LS5">
        <f>BDS("RVTY US Equity","SUPPLY_CHAIN_SUPPLIERS_FULL_DATA")</f>
        <v/>
      </c>
      <c r="MG5">
        <f>BDS("RVTY US Equity","SUPPLY_CHAIN_CUSTOMERS_FULL_DATA")</f>
        <v/>
      </c>
      <c r="MW5">
        <f>BDS("MFE US Equity","SUPPLY_CHAIN_SUPPLIERS_FULL_DATA")</f>
        <v/>
      </c>
      <c r="NK5">
        <f>BDS("MFE US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BDS("3414924Q US Equity","SUPPLY_CHAIN_SUPPLIERS_FULL_DATA")</f>
        <v/>
      </c>
      <c r="PS5">
        <f>BDS("3414924Q US Equity","SUPPLY_CHAIN_CUSTOMERS_FULL_DATA")</f>
        <v/>
      </c>
      <c r="QI5">
        <f>BDS("BMS US Equity","SUPPLY_CHAIN_SUPPLIERS_FULL_DATA")</f>
        <v/>
      </c>
      <c r="QW5">
        <f>BDS("BMS US Equity","SUPPLY_CHAIN_CUSTOMERS_FULL_DATA")</f>
        <v/>
      </c>
      <c r="RM5">
        <f>BDS("PBCT US Equity","SUPPLY_CHAIN_SUPPLIERS_FULL_DATA")</f>
        <v/>
      </c>
      <c r="SA5">
        <f>BDS("PBCT US Equity","SUPPLY_CHAIN_CUSTOMERS_FULL_DATA")</f>
        <v/>
      </c>
      <c r="SQ5">
        <f>BDS("FNFG US Equity","SUPPLY_CHAIN_SUPPLIERS_FULL_DATA")</f>
        <v/>
      </c>
      <c r="TE5">
        <f>BDS("FNFG US Equity","SUPPLY_CHAIN_CUSTOMERS_FULL_DATA")</f>
        <v/>
      </c>
      <c r="TU5">
        <f>BDS("COLB US Equity","SUPPLY_CHAIN_SUPPLIERS_FULL_DATA")</f>
        <v/>
      </c>
      <c r="UI5">
        <f>BDS("COLB US Equity","SUPPLY_CHAIN_CUSTOMERS_FULL_DATA")</f>
        <v/>
      </c>
      <c r="UY5">
        <f>BDS("TMO US Equity","SUPPLY_CHAIN_SUPPLIERS_FULL_DATA")</f>
        <v/>
      </c>
      <c r="VM5">
        <f>BDS("TMO US Equity","SUPPLY_CHAIN_CUSTOMERS_FULL_DATA")</f>
        <v/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3861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3862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3863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3864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3865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3866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3867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3868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3869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3870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3871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3872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3873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3874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3875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3876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3877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3878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3879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3880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BCR US Equity</t>
        </is>
      </c>
      <c r="AE2" s="3" t="inlineStr">
        <is>
          <t>13620Z US Equity</t>
        </is>
      </c>
      <c r="BI2" s="3" t="inlineStr">
        <is>
          <t>724880Q US Equity</t>
        </is>
      </c>
      <c r="CM2" s="3" t="inlineStr">
        <is>
          <t>BBY US Equity</t>
        </is>
      </c>
      <c r="DQ2" s="3" t="inlineStr">
        <is>
          <t>NXWXQ US Equity</t>
        </is>
      </c>
      <c r="EU2" s="3" t="inlineStr">
        <is>
          <t>AMNUQ US Equity</t>
        </is>
      </c>
      <c r="FY2" s="3" t="inlineStr">
        <is>
          <t>FSBK US Equity</t>
        </is>
      </c>
      <c r="HC2" s="3" t="inlineStr">
        <is>
          <t>SGID US Equity</t>
        </is>
      </c>
      <c r="IG2" s="3" t="inlineStr">
        <is>
          <t>PACW US Equity</t>
        </is>
      </c>
      <c r="JK2" s="3" t="inlineStr">
        <is>
          <t>MPB US Equity</t>
        </is>
      </c>
      <c r="KO2" s="3" t="inlineStr">
        <is>
          <t>2674129Q US Equity</t>
        </is>
      </c>
      <c r="LS2" s="3" t="inlineStr">
        <is>
          <t>BASXQ US Equity</t>
        </is>
      </c>
      <c r="MW2" s="3" t="inlineStr">
        <is>
          <t>1520415D US Equity</t>
        </is>
      </c>
      <c r="OA2" s="3" t="inlineStr">
        <is>
          <t>PAET US Equity</t>
        </is>
      </c>
      <c r="PE2" s="3" t="inlineStr">
        <is>
          <t>PSCXQ US Equity</t>
        </is>
      </c>
      <c r="QI2" s="3" t="inlineStr">
        <is>
          <t>CSCO US Equity</t>
        </is>
      </c>
      <c r="RM2" s="3" t="inlineStr">
        <is>
          <t>ITXG US Equity</t>
        </is>
      </c>
      <c r="SQ2" s="3" t="inlineStr">
        <is>
          <t>SPB US Equity</t>
        </is>
      </c>
      <c r="TU2" s="3" t="inlineStr">
        <is>
          <t>FCF US Equity</t>
        </is>
      </c>
      <c r="UY2" s="3" t="inlineStr">
        <is>
          <t>NEE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BDS("BCR US Equity","SUPPLY_CHAIN_SUPPLIERS_FULL_DATA")</f>
        <v/>
      </c>
      <c r="O5">
        <f>BDS("BCR US Equity","SUPPLY_CHAIN_CUSTOMERS_FULL_DATA")</f>
        <v/>
      </c>
      <c r="AE5">
        <f>BDS("13620Z US Equity","SUPPLY_CHAIN_SUPPLIERS_FULL_DATA")</f>
        <v/>
      </c>
      <c r="AS5">
        <f>BDS("13620Z US Equity","SUPPLY_CHAIN_CUSTOMERS_FULL_DATA")</f>
        <v/>
      </c>
      <c r="BI5">
        <f>BDS("724880Q US Equity","SUPPLY_CHAIN_SUPPLIERS_FULL_DATA")</f>
        <v/>
      </c>
      <c r="BW5">
        <f>BDS("724880Q US Equity","SUPPLY_CHAIN_CUSTOMERS_FULL_DATA")</f>
        <v/>
      </c>
      <c r="CM5">
        <f>BDS("BBY US Equity","SUPPLY_CHAIN_SUPPLIERS_FULL_DATA")</f>
        <v/>
      </c>
      <c r="DA5">
        <f>BDS("BBY US Equity","SUPPLY_CHAIN_CUSTOMERS_FULL_DATA")</f>
        <v/>
      </c>
      <c r="DQ5">
        <f>BDS("NXWXQ US Equity","SUPPLY_CHAIN_SUPPLIERS_FULL_DATA")</f>
        <v/>
      </c>
      <c r="EE5">
        <f>BDS("NXWXQ US Equity","SUPPLY_CHAIN_CUSTOMERS_FULL_DATA")</f>
        <v/>
      </c>
      <c r="EU5">
        <f>BDS("AMNUQ US Equity","SUPPLY_CHAIN_SUPPLIERS_FULL_DATA")</f>
        <v/>
      </c>
      <c r="FI5">
        <f>BDS("AMNUQ US Equity","SUPPLY_CHAIN_CUSTOMERS_FULL_DATA")</f>
        <v/>
      </c>
      <c r="FY5">
        <f>BDS("FSBK US Equity","SUPPLY_CHAIN_SUPPLIERS_FULL_DATA")</f>
        <v/>
      </c>
      <c r="GM5">
        <f>BDS("FSBK US Equity","SUPPLY_CHAIN_CUSTOMERS_FULL_DATA")</f>
        <v/>
      </c>
      <c r="HC5">
        <f>BDS("SGID US Equity","SUPPLY_CHAIN_SUPPLIERS_FULL_DATA")</f>
        <v/>
      </c>
      <c r="HQ5">
        <f>BDS("SGID US Equity","SUPPLY_CHAIN_CUSTOMERS_FULL_DATA")</f>
        <v/>
      </c>
      <c r="IG5">
        <f>BDS("PACW US Equity","SUPPLY_CHAIN_SUPPLIERS_FULL_DATA")</f>
        <v/>
      </c>
      <c r="IU5">
        <f>BDS("PACW US Equity","SUPPLY_CHAIN_CUSTOMERS_FULL_DATA")</f>
        <v/>
      </c>
      <c r="JK5">
        <f>BDS("MPB US Equity","SUPPLY_CHAIN_SUPPLIERS_FULL_DATA")</f>
        <v/>
      </c>
      <c r="JY5">
        <f>BDS("MPB US Equity","SUPPLY_CHAIN_CUSTOMERS_FULL_DATA")</f>
        <v/>
      </c>
      <c r="KO5">
        <f>BDS("2674129Q US Equity","SUPPLY_CHAIN_SUPPLIERS_FULL_DATA")</f>
        <v/>
      </c>
      <c r="LC5">
        <f>BDS("2674129Q US Equity","SUPPLY_CHAIN_CUSTOMERS_FULL_DATA")</f>
        <v/>
      </c>
      <c r="LS5">
        <f>BDS("BASXQ US Equity","SUPPLY_CHAIN_SUPPLIERS_FULL_DATA")</f>
        <v/>
      </c>
      <c r="MG5">
        <f>BDS("BASXQ US Equity","SUPPLY_CHAIN_CUSTOMERS_FULL_DATA")</f>
        <v/>
      </c>
      <c r="MW5">
        <f>BDS("1520415D US Equity","SUPPLY_CHAIN_SUPPLIERS_FULL_DATA")</f>
        <v/>
      </c>
      <c r="NK5">
        <f>BDS("1520415D US Equity","SUPPLY_CHAIN_CUSTOMERS_FULL_DATA")</f>
        <v/>
      </c>
      <c r="OA5">
        <f>BDS("PAET US Equity","SUPPLY_CHAIN_SUPPLIERS_FULL_DATA")</f>
        <v/>
      </c>
      <c r="OO5">
        <f>BDS("PAET US Equity","SUPPLY_CHAIN_CUSTOMERS_FULL_DATA")</f>
        <v/>
      </c>
      <c r="PE5">
        <f>BDS("PSCXQ US Equity","SUPPLY_CHAIN_SUPPLIERS_FULL_DATA")</f>
        <v/>
      </c>
      <c r="PS5">
        <f>BDS("PSCXQ US Equity","SUPPLY_CHAIN_CUSTOMERS_FULL_DATA")</f>
        <v/>
      </c>
      <c r="QI5">
        <f>BDS("CSCO US Equity","SUPPLY_CHAIN_SUPPLIERS_FULL_DATA")</f>
        <v/>
      </c>
      <c r="QW5">
        <f>BDS("CSCO US Equity","SUPPLY_CHAIN_CUSTOMERS_FULL_DATA")</f>
        <v/>
      </c>
      <c r="RM5">
        <f>BDS("ITXG US Equity","SUPPLY_CHAIN_SUPPLIERS_FULL_DATA")</f>
        <v/>
      </c>
      <c r="SA5">
        <f>BDS("ITXG US Equity","SUPPLY_CHAIN_CUSTOMERS_FULL_DATA")</f>
        <v/>
      </c>
      <c r="SQ5">
        <f>BDS("SPB US Equity","SUPPLY_CHAIN_SUPPLIERS_FULL_DATA")</f>
        <v/>
      </c>
      <c r="TE5">
        <f>BDS("SPB US Equity","SUPPLY_CHAIN_CUSTOMERS_FULL_DATA")</f>
        <v/>
      </c>
      <c r="TU5">
        <f>BDS("FCF US Equity","SUPPLY_CHAIN_SUPPLIERS_FULL_DATA")</f>
        <v/>
      </c>
      <c r="UI5">
        <f>BDS("FCF US Equity","SUPPLY_CHAIN_CUSTOMERS_FULL_DATA")</f>
        <v/>
      </c>
      <c r="UY5">
        <f>BDS("NEE US Equity","SUPPLY_CHAIN_SUPPLIERS_FULL_DATA")</f>
        <v/>
      </c>
      <c r="VM5">
        <f>BDS("NEE US Equity","SUPPLY_CHAIN_CUSTOMERS_FULL_DATA")</f>
        <v/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3881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3882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3883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3884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3885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3886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3887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3888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3889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3890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3891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3892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3893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3894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3895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3896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3897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3898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3899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3900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NBBC US Equity</t>
        </is>
      </c>
      <c r="AE2" s="3" t="inlineStr">
        <is>
          <t>NVI US Equity</t>
        </is>
      </c>
      <c r="BI2" s="3" t="inlineStr">
        <is>
          <t>CMCT US Equity</t>
        </is>
      </c>
      <c r="CM2" s="3" t="inlineStr">
        <is>
          <t>PFNS US Equity</t>
        </is>
      </c>
      <c r="DQ2" s="3" t="inlineStr">
        <is>
          <t>ACAS US Equity</t>
        </is>
      </c>
      <c r="EU2" s="3" t="inlineStr">
        <is>
          <t>EOG US Equity</t>
        </is>
      </c>
      <c r="FY2" s="3" t="inlineStr">
        <is>
          <t>VNBCQ US Equity</t>
        </is>
      </c>
      <c r="HC2" s="3" t="inlineStr">
        <is>
          <t>MWW US Equity</t>
        </is>
      </c>
      <c r="IG2" s="3" t="inlineStr">
        <is>
          <t>nan Equity</t>
        </is>
      </c>
      <c r="JK2" s="3" t="inlineStr">
        <is>
          <t>MSTI US Equity</t>
        </is>
      </c>
      <c r="KO2" s="3" t="inlineStr">
        <is>
          <t>XBKS US Equity</t>
        </is>
      </c>
      <c r="LS2" s="3" t="inlineStr">
        <is>
          <t>CFBX US Equity</t>
        </is>
      </c>
      <c r="MW2" s="3" t="inlineStr">
        <is>
          <t>GNMP US Equity</t>
        </is>
      </c>
      <c r="OA2" s="3" t="inlineStr">
        <is>
          <t>NPBC US Equity</t>
        </is>
      </c>
      <c r="PE2" s="3" t="inlineStr">
        <is>
          <t>3026164Q US Equity</t>
        </is>
      </c>
      <c r="QI2" s="3" t="inlineStr">
        <is>
          <t>496112Q US Equity</t>
        </is>
      </c>
      <c r="RM2" s="3" t="inlineStr">
        <is>
          <t>ORRF US Equity</t>
        </is>
      </c>
      <c r="SQ2" s="3" t="inlineStr">
        <is>
          <t>MSFG US Equity</t>
        </is>
      </c>
      <c r="TU2" s="3" t="inlineStr">
        <is>
          <t>GBCI US Equity</t>
        </is>
      </c>
      <c r="UY2" s="3" t="inlineStr">
        <is>
          <t>MSFG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BDS("NBBC US Equity","SUPPLY_CHAIN_SUPPLIERS_FULL_DATA")</f>
        <v/>
      </c>
      <c r="O5">
        <f>BDS("NBBC US Equity","SUPPLY_CHAIN_CUSTOMERS_FULL_DATA")</f>
        <v/>
      </c>
      <c r="AE5">
        <f>BDS("NVI US Equity","SUPPLY_CHAIN_SUPPLIERS_FULL_DATA")</f>
        <v/>
      </c>
      <c r="AS5">
        <f>BDS("NVI US Equity","SUPPLY_CHAIN_CUSTOMERS_FULL_DATA")</f>
        <v/>
      </c>
      <c r="BI5">
        <f>BDS("CMCT US Equity","SUPPLY_CHAIN_SUPPLIERS_FULL_DATA")</f>
        <v/>
      </c>
      <c r="BW5">
        <f>BDS("CMCT US Equity","SUPPLY_CHAIN_CUSTOMERS_FULL_DATA")</f>
        <v/>
      </c>
      <c r="CM5">
        <f>BDS("PFNS US Equity","SUPPLY_CHAIN_SUPPLIERS_FULL_DATA")</f>
        <v/>
      </c>
      <c r="DA5">
        <f>BDS("PFNS US Equity","SUPPLY_CHAIN_CUSTOMERS_FULL_DATA")</f>
        <v/>
      </c>
      <c r="DQ5">
        <f>BDS("ACAS US Equity","SUPPLY_CHAIN_SUPPLIERS_FULL_DATA")</f>
        <v/>
      </c>
      <c r="EE5">
        <f>BDS("ACAS US Equity","SUPPLY_CHAIN_CUSTOMERS_FULL_DATA")</f>
        <v/>
      </c>
      <c r="EU5">
        <f>BDS("EOG US Equity","SUPPLY_CHAIN_SUPPLIERS_FULL_DATA")</f>
        <v/>
      </c>
      <c r="FI5">
        <f>BDS("EOG US Equity","SUPPLY_CHAIN_CUSTOMERS_FULL_DATA")</f>
        <v/>
      </c>
      <c r="FY5">
        <f>BDS("VNBCQ US Equity","SUPPLY_CHAIN_SUPPLIERS_FULL_DATA")</f>
        <v/>
      </c>
      <c r="GM5">
        <f>BDS("VNBCQ US Equity","SUPPLY_CHAIN_CUSTOMERS_FULL_DATA")</f>
        <v/>
      </c>
      <c r="HC5">
        <f>BDS("MWW US Equity","SUPPLY_CHAIN_SUPPLIERS_FULL_DATA")</f>
        <v/>
      </c>
      <c r="HQ5">
        <f>BDS("MWW US Equity","SUPPLY_CHAIN_CUSTOMERS_FULL_DATA")</f>
        <v/>
      </c>
      <c r="IG5">
        <f>BDS("nan Equity","SUPPLY_CHAIN_SUPPLIERS_FULL_DATA")</f>
        <v/>
      </c>
      <c r="IU5">
        <f>BDS("nan Equity","SUPPLY_CHAIN_CUSTOMERS_FULL_DATA")</f>
        <v/>
      </c>
      <c r="JK5">
        <f>BDS("MSTI US Equity","SUPPLY_CHAIN_SUPPLIERS_FULL_DATA")</f>
        <v/>
      </c>
      <c r="JY5">
        <f>BDS("MSTI US Equity","SUPPLY_CHAIN_CUSTOMERS_FULL_DATA")</f>
        <v/>
      </c>
      <c r="KO5">
        <f>BDS("XBKS US Equity","SUPPLY_CHAIN_SUPPLIERS_FULL_DATA")</f>
        <v/>
      </c>
      <c r="LC5">
        <f>BDS("XBKS US Equity","SUPPLY_CHAIN_CUSTOMERS_FULL_DATA")</f>
        <v/>
      </c>
      <c r="LS5">
        <f>BDS("CFBX US Equity","SUPPLY_CHAIN_SUPPLIERS_FULL_DATA")</f>
        <v/>
      </c>
      <c r="MG5">
        <f>BDS("CFBX US Equity","SUPPLY_CHAIN_CUSTOMERS_FULL_DATA")</f>
        <v/>
      </c>
      <c r="MW5">
        <f>BDS("GNMP US Equity","SUPPLY_CHAIN_SUPPLIERS_FULL_DATA")</f>
        <v/>
      </c>
      <c r="NK5">
        <f>BDS("GNMP US Equity","SUPPLY_CHAIN_CUSTOMERS_FULL_DATA")</f>
        <v/>
      </c>
      <c r="OA5">
        <f>BDS("NPBC US Equity","SUPPLY_CHAIN_SUPPLIERS_FULL_DATA")</f>
        <v/>
      </c>
      <c r="OO5">
        <f>BDS("NPBC US Equity","SUPPLY_CHAIN_CUSTOMERS_FULL_DATA")</f>
        <v/>
      </c>
      <c r="PE5">
        <f>BDS("3026164Q US Equity","SUPPLY_CHAIN_SUPPLIERS_FULL_DATA")</f>
        <v/>
      </c>
      <c r="PS5">
        <f>BDS("3026164Q US Equity","SUPPLY_CHAIN_CUSTOMERS_FULL_DATA")</f>
        <v/>
      </c>
      <c r="QI5">
        <f>BDS("496112Q US Equity","SUPPLY_CHAIN_SUPPLIERS_FULL_DATA")</f>
        <v/>
      </c>
      <c r="QW5">
        <f>BDS("496112Q US Equity","SUPPLY_CHAIN_CUSTOMERS_FULL_DATA")</f>
        <v/>
      </c>
      <c r="RM5">
        <f>BDS("ORRF US Equity","SUPPLY_CHAIN_SUPPLIERS_FULL_DATA")</f>
        <v/>
      </c>
      <c r="SA5">
        <f>BDS("ORRF US Equity","SUPPLY_CHAIN_CUSTOMERS_FULL_DATA")</f>
        <v/>
      </c>
      <c r="SQ5">
        <f>BDS("MSFG US Equity","SUPPLY_CHAIN_SUPPLIERS_FULL_DATA")</f>
        <v/>
      </c>
      <c r="TE5">
        <f>BDS("MSFG US Equity","SUPPLY_CHAIN_CUSTOMERS_FULL_DATA")</f>
        <v/>
      </c>
      <c r="TU5">
        <f>BDS("GBCI US Equity","SUPPLY_CHAIN_SUPPLIERS_FULL_DATA")</f>
        <v/>
      </c>
      <c r="UI5">
        <f>BDS("GBCI US Equity","SUPPLY_CHAIN_CUSTOMERS_FULL_DATA")</f>
        <v/>
      </c>
      <c r="UY5">
        <f>BDS("MSFG US Equity","SUPPLY_CHAIN_SUPPLIERS_FULL_DATA")</f>
        <v/>
      </c>
      <c r="VM5">
        <f>BDS("MSFG US Equity","SUPPLY_CHAIN_CUSTOMERS_FULL_DATA")</f>
        <v/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3901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3902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3903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3904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3905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3906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3907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3908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3909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3910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3911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3912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3913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3914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3915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3916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3917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3918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3919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3920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OZK US Equity</t>
        </is>
      </c>
      <c r="AE2" s="3" t="inlineStr">
        <is>
          <t>IXYS US Equity</t>
        </is>
      </c>
      <c r="BI2" s="3" t="inlineStr">
        <is>
          <t>CAA US Equity</t>
        </is>
      </c>
      <c r="CM2" s="3" t="inlineStr">
        <is>
          <t>WFM US Equity</t>
        </is>
      </c>
      <c r="DQ2" s="3" t="inlineStr">
        <is>
          <t>EBS US Equity</t>
        </is>
      </c>
      <c r="EU2" s="3" t="inlineStr">
        <is>
          <t>WTTR US Equity</t>
        </is>
      </c>
      <c r="FY2" s="3" t="inlineStr">
        <is>
          <t>AMAT US Equity</t>
        </is>
      </c>
      <c r="HC2" s="3" t="inlineStr">
        <is>
          <t>540721Q US Equity</t>
        </is>
      </c>
      <c r="IG2" s="3" t="inlineStr">
        <is>
          <t>DRYR US Equity</t>
        </is>
      </c>
      <c r="JK2" s="3" t="inlineStr">
        <is>
          <t>ACTRQ US Equity</t>
        </is>
      </c>
      <c r="KO2" s="3" t="inlineStr">
        <is>
          <t>1794548D US Equity</t>
        </is>
      </c>
      <c r="LS2" s="3" t="inlineStr">
        <is>
          <t>CSFL US Equity</t>
        </is>
      </c>
      <c r="MW2" s="3" t="inlineStr">
        <is>
          <t>COV US Equity</t>
        </is>
      </c>
      <c r="OA2" s="3" t="inlineStr">
        <is>
          <t>CBNJ US Equity</t>
        </is>
      </c>
      <c r="PE2" s="3" t="inlineStr">
        <is>
          <t>IDMCQ US Equity</t>
        </is>
      </c>
      <c r="QI2" s="3" t="inlineStr">
        <is>
          <t>BANR US Equity</t>
        </is>
      </c>
      <c r="RM2" s="3" t="inlineStr">
        <is>
          <t>FNSCQ US Equity</t>
        </is>
      </c>
      <c r="SQ2" s="3" t="inlineStr">
        <is>
          <t>HEOP US Equity</t>
        </is>
      </c>
      <c r="TU2" s="3" t="inlineStr">
        <is>
          <t>AMAL US Equity</t>
        </is>
      </c>
      <c r="UY2" s="3" t="inlineStr">
        <is>
          <t>AUB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BDS("OZK US Equity","SUPPLY_CHAIN_SUPPLIERS_FULL_DATA")</f>
        <v/>
      </c>
      <c r="O5">
        <f>BDS("OZK US Equity","SUPPLY_CHAIN_CUSTOMERS_FULL_DATA")</f>
        <v/>
      </c>
      <c r="AE5">
        <f>BDS("IXYS US Equity","SUPPLY_CHAIN_SUPPLIERS_FULL_DATA")</f>
        <v/>
      </c>
      <c r="AS5">
        <f>BDS("IXYS US Equity","SUPPLY_CHAIN_CUSTOMERS_FULL_DATA")</f>
        <v/>
      </c>
      <c r="BI5">
        <f>BDS("CAA US Equity","SUPPLY_CHAIN_SUPPLIERS_FULL_DATA")</f>
        <v/>
      </c>
      <c r="BW5">
        <f>BDS("CAA US Equity","SUPPLY_CHAIN_CUSTOMERS_FULL_DATA")</f>
        <v/>
      </c>
      <c r="CM5">
        <f>BDS("WFM US Equity","SUPPLY_CHAIN_SUPPLIERS_FULL_DATA")</f>
        <v/>
      </c>
      <c r="DA5">
        <f>BDS("WFM US Equity","SUPPLY_CHAIN_CUSTOMERS_FULL_DATA")</f>
        <v/>
      </c>
      <c r="DQ5">
        <f>BDS("EBS US Equity","SUPPLY_CHAIN_SUPPLIERS_FULL_DATA")</f>
        <v/>
      </c>
      <c r="EE5">
        <f>BDS("EBS US Equity","SUPPLY_CHAIN_CUSTOMERS_FULL_DATA")</f>
        <v/>
      </c>
      <c r="EU5">
        <f>BDS("WTTR US Equity","SUPPLY_CHAIN_SUPPLIERS_FULL_DATA")</f>
        <v/>
      </c>
      <c r="FI5">
        <f>BDS("WTTR US Equity","SUPPLY_CHAIN_CUSTOMERS_FULL_DATA")</f>
        <v/>
      </c>
      <c r="FY5">
        <f>BDS("AMAT US Equity","SUPPLY_CHAIN_SUPPLIERS_FULL_DATA")</f>
        <v/>
      </c>
      <c r="GM5">
        <f>BDS("AMAT US Equity","SUPPLY_CHAIN_CUSTOMERS_FULL_DATA")</f>
        <v/>
      </c>
      <c r="HC5">
        <f>BDS("540721Q US Equity","SUPPLY_CHAIN_SUPPLIERS_FULL_DATA")</f>
        <v/>
      </c>
      <c r="HQ5">
        <f>BDS("540721Q US Equity","SUPPLY_CHAIN_CUSTOMERS_FULL_DATA")</f>
        <v/>
      </c>
      <c r="IG5">
        <f>BDS("DRYR US Equity","SUPPLY_CHAIN_SUPPLIERS_FULL_DATA")</f>
        <v/>
      </c>
      <c r="IU5">
        <f>BDS("DRYR US Equity","SUPPLY_CHAIN_CUSTOMERS_FULL_DATA")</f>
        <v/>
      </c>
      <c r="JK5">
        <f>BDS("ACTRQ US Equity","SUPPLY_CHAIN_SUPPLIERS_FULL_DATA")</f>
        <v/>
      </c>
      <c r="JY5">
        <f>BDS("ACTRQ US Equity","SUPPLY_CHAIN_CUSTOMERS_FULL_DATA")</f>
        <v/>
      </c>
      <c r="KO5">
        <f>BDS("1794548D US Equity","SUPPLY_CHAIN_SUPPLIERS_FULL_DATA")</f>
        <v/>
      </c>
      <c r="LC5">
        <f>BDS("1794548D US Equity","SUPPLY_CHAIN_CUSTOMERS_FULL_DATA")</f>
        <v/>
      </c>
      <c r="LS5">
        <f>BDS("CSFL US Equity","SUPPLY_CHAIN_SUPPLIERS_FULL_DATA")</f>
        <v/>
      </c>
      <c r="MG5">
        <f>BDS("CSFL US Equity","SUPPLY_CHAIN_CUSTOMERS_FULL_DATA")</f>
        <v/>
      </c>
      <c r="MW5">
        <f>BDS("COV US Equity","SUPPLY_CHAIN_SUPPLIERS_FULL_DATA")</f>
        <v/>
      </c>
      <c r="NK5">
        <f>BDS("COV US Equity","SUPPLY_CHAIN_CUSTOMERS_FULL_DATA")</f>
        <v/>
      </c>
      <c r="OA5">
        <f>BDS("CBNJ US Equity","SUPPLY_CHAIN_SUPPLIERS_FULL_DATA")</f>
        <v/>
      </c>
      <c r="OO5">
        <f>BDS("CBNJ US Equity","SUPPLY_CHAIN_CUSTOMERS_FULL_DATA")</f>
        <v/>
      </c>
      <c r="PE5">
        <f>BDS("IDMCQ US Equity","SUPPLY_CHAIN_SUPPLIERS_FULL_DATA")</f>
        <v/>
      </c>
      <c r="PS5">
        <f>BDS("IDMCQ US Equity","SUPPLY_CHAIN_CUSTOMERS_FULL_DATA")</f>
        <v/>
      </c>
      <c r="QI5">
        <f>BDS("BANR US Equity","SUPPLY_CHAIN_SUPPLIERS_FULL_DATA")</f>
        <v/>
      </c>
      <c r="QW5">
        <f>BDS("BANR US Equity","SUPPLY_CHAIN_CUSTOMERS_FULL_DATA")</f>
        <v/>
      </c>
      <c r="RM5">
        <f>BDS("FNSCQ US Equity","SUPPLY_CHAIN_SUPPLIERS_FULL_DATA")</f>
        <v/>
      </c>
      <c r="SA5">
        <f>BDS("FNSCQ US Equity","SUPPLY_CHAIN_CUSTOMERS_FULL_DATA")</f>
        <v/>
      </c>
      <c r="SQ5">
        <f>BDS("HEOP US Equity","SUPPLY_CHAIN_SUPPLIERS_FULL_DATA")</f>
        <v/>
      </c>
      <c r="TE5">
        <f>BDS("HEOP US Equity","SUPPLY_CHAIN_CUSTOMERS_FULL_DATA")</f>
        <v/>
      </c>
      <c r="TU5">
        <f>BDS("AMAL US Equity","SUPPLY_CHAIN_SUPPLIERS_FULL_DATA")</f>
        <v/>
      </c>
      <c r="UI5">
        <f>BDS("AMAL US Equity","SUPPLY_CHAIN_CUSTOMERS_FULL_DATA")</f>
        <v/>
      </c>
      <c r="UY5">
        <f>BDS("AUB US Equity","SUPPLY_CHAIN_SUPPLIERS_FULL_DATA")</f>
        <v/>
      </c>
      <c r="VM5">
        <f>BDS("AUB US Equity","SUPPLY_CHAIN_CUSTOMERS_FULL_DATA")</f>
        <v/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3921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3922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3923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3924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3925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3926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3927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3928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3929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3930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3931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3932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3933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3934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3935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3936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3937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3938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3939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3940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TQNT US Equity</t>
        </is>
      </c>
      <c r="AE2" s="3" t="inlineStr">
        <is>
          <t>IPAS US Equity</t>
        </is>
      </c>
      <c r="BI2" s="3" t="inlineStr">
        <is>
          <t>CTS US Equity</t>
        </is>
      </c>
      <c r="CM2" s="3" t="inlineStr">
        <is>
          <t>1255173D US Equity</t>
        </is>
      </c>
      <c r="DQ2" s="3" t="inlineStr">
        <is>
          <t>RGS US Equity</t>
        </is>
      </c>
      <c r="EU2" s="3" t="inlineStr">
        <is>
          <t>UMPQ US Equity</t>
        </is>
      </c>
      <c r="FY2" s="3" t="inlineStr">
        <is>
          <t>TCF US Equity</t>
        </is>
      </c>
      <c r="HC2" s="3" t="inlineStr">
        <is>
          <t>FTAR US Equity</t>
        </is>
      </c>
      <c r="IG2" s="3" t="inlineStr">
        <is>
          <t>MDT US Equity</t>
        </is>
      </c>
      <c r="JK2" s="3" t="inlineStr">
        <is>
          <t>KFRC US Equity</t>
        </is>
      </c>
      <c r="KO2" s="3" t="inlineStr">
        <is>
          <t>CBFV US Equity</t>
        </is>
      </c>
      <c r="LS2" s="3" t="inlineStr">
        <is>
          <t>355488Q US Equity</t>
        </is>
      </c>
      <c r="MW2" s="3" t="inlineStr">
        <is>
          <t>9990822D US Equity</t>
        </is>
      </c>
      <c r="OA2" s="3" t="inlineStr">
        <is>
          <t>PACW US Equity</t>
        </is>
      </c>
      <c r="PE2" s="3" t="inlineStr">
        <is>
          <t>FNBCQ US Equity</t>
        </is>
      </c>
      <c r="QI2" s="3" t="inlineStr">
        <is>
          <t>SCZC US Equity</t>
        </is>
      </c>
      <c r="RM2" s="3" t="inlineStr">
        <is>
          <t>KTOS US Equity</t>
        </is>
      </c>
      <c r="SQ2" s="3" t="inlineStr">
        <is>
          <t>PFC US Equity</t>
        </is>
      </c>
      <c r="TU2" s="3" t="inlineStr">
        <is>
          <t>HTB US Equity</t>
        </is>
      </c>
      <c r="UY2" s="3" t="inlineStr">
        <is>
          <t>COLB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BDS("TQNT US Equity","SUPPLY_CHAIN_SUPPLIERS_FULL_DATA")</f>
        <v/>
      </c>
      <c r="O5">
        <f>BDS("TQNT US Equity","SUPPLY_CHAIN_CUSTOMERS_FULL_DATA")</f>
        <v/>
      </c>
      <c r="AE5">
        <f>BDS("IPAS US Equity","SUPPLY_CHAIN_SUPPLIERS_FULL_DATA")</f>
        <v/>
      </c>
      <c r="AS5">
        <f>BDS("IPAS US Equity","SUPPLY_CHAIN_CUSTOMERS_FULL_DATA")</f>
        <v/>
      </c>
      <c r="BI5">
        <f>BDS("CTS US Equity","SUPPLY_CHAIN_SUPPLIERS_FULL_DATA")</f>
        <v/>
      </c>
      <c r="BW5">
        <f>BDS("CTS US Equity","SUPPLY_CHAIN_CUSTOMERS_FULL_DATA")</f>
        <v/>
      </c>
      <c r="CM5">
        <f>BDS("1255173D US Equity","SUPPLY_CHAIN_SUPPLIERS_FULL_DATA")</f>
        <v/>
      </c>
      <c r="DA5">
        <f>BDS("1255173D US Equity","SUPPLY_CHAIN_CUSTOMERS_FULL_DATA")</f>
        <v/>
      </c>
      <c r="DQ5">
        <f>BDS("RGS US Equity","SUPPLY_CHAIN_SUPPLIERS_FULL_DATA")</f>
        <v/>
      </c>
      <c r="EE5">
        <f>BDS("RGS US Equity","SUPPLY_CHAIN_CUSTOMERS_FULL_DATA")</f>
        <v/>
      </c>
      <c r="EU5">
        <f>BDS("UMPQ US Equity","SUPPLY_CHAIN_SUPPLIERS_FULL_DATA")</f>
        <v/>
      </c>
      <c r="FI5">
        <f>BDS("UMPQ US Equity","SUPPLY_CHAIN_CUSTOMERS_FULL_DATA")</f>
        <v/>
      </c>
      <c r="FY5">
        <f>BDS("TCF US Equity","SUPPLY_CHAIN_SUPPLIERS_FULL_DATA")</f>
        <v/>
      </c>
      <c r="GM5">
        <f>BDS("TCF US Equity","SUPPLY_CHAIN_CUSTOMERS_FULL_DATA")</f>
        <v/>
      </c>
      <c r="HC5">
        <f>BDS("FTAR US Equity","SUPPLY_CHAIN_SUPPLIERS_FULL_DATA")</f>
        <v/>
      </c>
      <c r="HQ5">
        <f>BDS("FTAR US Equity","SUPPLY_CHAIN_CUSTOMERS_FULL_DATA")</f>
        <v/>
      </c>
      <c r="IG5">
        <f>BDS("MDT US Equity","SUPPLY_CHAIN_SUPPLIERS_FULL_DATA")</f>
        <v/>
      </c>
      <c r="IU5">
        <f>BDS("MDT US Equity","SUPPLY_CHAIN_CUSTOMERS_FULL_DATA")</f>
        <v/>
      </c>
      <c r="JK5">
        <f>BDS("KFRC US Equity","SUPPLY_CHAIN_SUPPLIERS_FULL_DATA")</f>
        <v/>
      </c>
      <c r="JY5">
        <f>BDS("KFRC US Equity","SUPPLY_CHAIN_CUSTOMERS_FULL_DATA")</f>
        <v/>
      </c>
      <c r="KO5">
        <f>BDS("CBFV US Equity","SUPPLY_CHAIN_SUPPLIERS_FULL_DATA")</f>
        <v/>
      </c>
      <c r="LC5">
        <f>BDS("CBFV US Equity","SUPPLY_CHAIN_CUSTOMERS_FULL_DATA")</f>
        <v/>
      </c>
      <c r="LS5">
        <f>BDS("355488Q US Equity","SUPPLY_CHAIN_SUPPLIERS_FULL_DATA")</f>
        <v/>
      </c>
      <c r="MG5">
        <f>BDS("355488Q US Equity","SUPPLY_CHAIN_CUSTOMERS_FULL_DATA")</f>
        <v/>
      </c>
      <c r="MW5">
        <f>BDS("9990822D US Equity","SUPPLY_CHAIN_SUPPLIERS_FULL_DATA")</f>
        <v/>
      </c>
      <c r="NK5">
        <f>BDS("9990822D US Equity","SUPPLY_CHAIN_CUSTOMERS_FULL_DATA")</f>
        <v/>
      </c>
      <c r="OA5">
        <f>BDS("PACW US Equity","SUPPLY_CHAIN_SUPPLIERS_FULL_DATA")</f>
        <v/>
      </c>
      <c r="OO5">
        <f>BDS("PACW US Equity","SUPPLY_CHAIN_CUSTOMERS_FULL_DATA")</f>
        <v/>
      </c>
      <c r="PE5">
        <f>BDS("FNBCQ US Equity","SUPPLY_CHAIN_SUPPLIERS_FULL_DATA")</f>
        <v/>
      </c>
      <c r="PS5">
        <f>BDS("FNBCQ US Equity","SUPPLY_CHAIN_CUSTOMERS_FULL_DATA")</f>
        <v/>
      </c>
      <c r="QI5">
        <f>BDS("SCZC US Equity","SUPPLY_CHAIN_SUPPLIERS_FULL_DATA")</f>
        <v/>
      </c>
      <c r="QW5">
        <f>BDS("SCZC US Equity","SUPPLY_CHAIN_CUSTOMERS_FULL_DATA")</f>
        <v/>
      </c>
      <c r="RM5">
        <f>BDS("KTOS US Equity","SUPPLY_CHAIN_SUPPLIERS_FULL_DATA")</f>
        <v/>
      </c>
      <c r="SA5">
        <f>BDS("KTOS US Equity","SUPPLY_CHAIN_CUSTOMERS_FULL_DATA")</f>
        <v/>
      </c>
      <c r="SQ5">
        <f>BDS("PFC US Equity","SUPPLY_CHAIN_SUPPLIERS_FULL_DATA")</f>
        <v/>
      </c>
      <c r="TE5">
        <f>BDS("PFC US Equity","SUPPLY_CHAIN_CUSTOMERS_FULL_DATA")</f>
        <v/>
      </c>
      <c r="TU5">
        <f>BDS("HTB US Equity","SUPPLY_CHAIN_SUPPLIERS_FULL_DATA")</f>
        <v/>
      </c>
      <c r="UI5">
        <f>BDS("HTB US Equity","SUPPLY_CHAIN_CUSTOMERS_FULL_DATA")</f>
        <v/>
      </c>
      <c r="UY5">
        <f>BDS("COLB US Equity","SUPPLY_CHAIN_SUPPLIERS_FULL_DATA")</f>
        <v/>
      </c>
      <c r="VM5">
        <f>BDS("COLB US Equity","SUPPLY_CHAIN_CUSTOMERS_FULL_DATA")</f>
        <v/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3941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3942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3943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3944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3945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3946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3947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3948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3949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3950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3951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3952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3953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3954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3955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3956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3957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3958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3959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3960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WAL US Equity</t>
        </is>
      </c>
      <c r="AE2" s="3" t="inlineStr">
        <is>
          <t>INDB US Equity</t>
        </is>
      </c>
      <c r="BI2" s="3" t="inlineStr">
        <is>
          <t>PRDO US Equity</t>
        </is>
      </c>
      <c r="CM2" s="3" t="inlineStr">
        <is>
          <t>UCB US Equity</t>
        </is>
      </c>
      <c r="DQ2" s="3" t="inlineStr">
        <is>
          <t>JEFF US Equity</t>
        </is>
      </c>
      <c r="EU2" s="3" t="inlineStr">
        <is>
          <t>CDOR US Equity</t>
        </is>
      </c>
      <c r="FY2" s="3" t="inlineStr">
        <is>
          <t>MFSF US Equity</t>
        </is>
      </c>
      <c r="HC2" s="3" t="inlineStr">
        <is>
          <t>BCIC US Equity</t>
        </is>
      </c>
      <c r="IG2" s="3" t="inlineStr">
        <is>
          <t>CALP US Equity</t>
        </is>
      </c>
      <c r="JK2" s="3" t="inlineStr">
        <is>
          <t>CFCB US Equity</t>
        </is>
      </c>
      <c r="KO2" s="3" t="inlineStr">
        <is>
          <t>ARL US Equity</t>
        </is>
      </c>
      <c r="LS2" s="3" t="inlineStr">
        <is>
          <t>BF/B US Equity</t>
        </is>
      </c>
      <c r="MW2" s="3" t="inlineStr">
        <is>
          <t>ZION US Equity</t>
        </is>
      </c>
      <c r="OA2" s="3" t="inlineStr">
        <is>
          <t>CIVB US Equity</t>
        </is>
      </c>
      <c r="PE2" s="3" t="inlineStr">
        <is>
          <t>9980328D US Equity</t>
        </is>
      </c>
      <c r="QI2" s="3" t="inlineStr">
        <is>
          <t>ALNC US Equity</t>
        </is>
      </c>
      <c r="RM2" s="3" t="inlineStr">
        <is>
          <t>UMPQ US Equity</t>
        </is>
      </c>
      <c r="SQ2" s="3" t="inlineStr">
        <is>
          <t>DGIT US Equity</t>
        </is>
      </c>
      <c r="TU2" s="3" t="inlineStr">
        <is>
          <t>SBKK US Equity</t>
        </is>
      </c>
      <c r="UY2" s="3" t="inlineStr">
        <is>
          <t>KTOS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BDS("WAL US Equity","SUPPLY_CHAIN_SUPPLIERS_FULL_DATA")</f>
        <v/>
      </c>
      <c r="O5">
        <f>BDS("WAL US Equity","SUPPLY_CHAIN_CUSTOMERS_FULL_DATA")</f>
        <v/>
      </c>
      <c r="AE5">
        <f>BDS("INDB US Equity","SUPPLY_CHAIN_SUPPLIERS_FULL_DATA")</f>
        <v/>
      </c>
      <c r="AS5">
        <f>BDS("INDB US Equity","SUPPLY_CHAIN_CUSTOMERS_FULL_DATA")</f>
        <v/>
      </c>
      <c r="BI5">
        <f>BDS("PRDO US Equity","SUPPLY_CHAIN_SUPPLIERS_FULL_DATA")</f>
        <v/>
      </c>
      <c r="BW5">
        <f>BDS("PRDO US Equity","SUPPLY_CHAIN_CUSTOMERS_FULL_DATA")</f>
        <v/>
      </c>
      <c r="CM5">
        <f>BDS("UCB US Equity","SUPPLY_CHAIN_SUPPLIERS_FULL_DATA")</f>
        <v/>
      </c>
      <c r="DA5">
        <f>BDS("UCB US Equity","SUPPLY_CHAIN_CUSTOMERS_FULL_DATA")</f>
        <v/>
      </c>
      <c r="DQ5">
        <f>BDS("JEFF US Equity","SUPPLY_CHAIN_SUPPLIERS_FULL_DATA")</f>
        <v/>
      </c>
      <c r="EE5">
        <f>BDS("JEFF US Equity","SUPPLY_CHAIN_CUSTOMERS_FULL_DATA")</f>
        <v/>
      </c>
      <c r="EU5">
        <f>BDS("CDOR US Equity","SUPPLY_CHAIN_SUPPLIERS_FULL_DATA")</f>
        <v/>
      </c>
      <c r="FI5">
        <f>BDS("CDOR US Equity","SUPPLY_CHAIN_CUSTOMERS_FULL_DATA")</f>
        <v/>
      </c>
      <c r="FY5">
        <f>BDS("MFSF US Equity","SUPPLY_CHAIN_SUPPLIERS_FULL_DATA")</f>
        <v/>
      </c>
      <c r="GM5">
        <f>BDS("MFSF US Equity","SUPPLY_CHAIN_CUSTOMERS_FULL_DATA")</f>
        <v/>
      </c>
      <c r="HC5">
        <f>BDS("BCIC US Equity","SUPPLY_CHAIN_SUPPLIERS_FULL_DATA")</f>
        <v/>
      </c>
      <c r="HQ5">
        <f>BDS("BCIC US Equity","SUPPLY_CHAIN_CUSTOMERS_FULL_DATA")</f>
        <v/>
      </c>
      <c r="IG5">
        <f>BDS("CALP US Equity","SUPPLY_CHAIN_SUPPLIERS_FULL_DATA")</f>
        <v/>
      </c>
      <c r="IU5">
        <f>BDS("CALP US Equity","SUPPLY_CHAIN_CUSTOMERS_FULL_DATA")</f>
        <v/>
      </c>
      <c r="JK5">
        <f>BDS("CFCB US Equity","SUPPLY_CHAIN_SUPPLIERS_FULL_DATA")</f>
        <v/>
      </c>
      <c r="JY5">
        <f>BDS("CFCB US Equity","SUPPLY_CHAIN_CUSTOMERS_FULL_DATA")</f>
        <v/>
      </c>
      <c r="KO5">
        <f>BDS("ARL US Equity","SUPPLY_CHAIN_SUPPLIERS_FULL_DATA")</f>
        <v/>
      </c>
      <c r="LC5">
        <f>BDS("ARL US Equity","SUPPLY_CHAIN_CUSTOMERS_FULL_DATA")</f>
        <v/>
      </c>
      <c r="LS5">
        <f>BDS("BF/B US Equity","SUPPLY_CHAIN_SUPPLIERS_FULL_DATA")</f>
        <v/>
      </c>
      <c r="MG5">
        <f>BDS("BF/B US Equity","SUPPLY_CHAIN_CUSTOMERS_FULL_DATA")</f>
        <v/>
      </c>
      <c r="MW5">
        <f>BDS("ZION US Equity","SUPPLY_CHAIN_SUPPLIERS_FULL_DATA")</f>
        <v/>
      </c>
      <c r="NK5">
        <f>BDS("ZION US Equity","SUPPLY_CHAIN_CUSTOMERS_FULL_DATA")</f>
        <v/>
      </c>
      <c r="OA5">
        <f>BDS("CIVB US Equity","SUPPLY_CHAIN_SUPPLIERS_FULL_DATA")</f>
        <v/>
      </c>
      <c r="OO5">
        <f>BDS("CIVB US Equity","SUPPLY_CHAIN_CUSTOMERS_FULL_DATA")</f>
        <v/>
      </c>
      <c r="PE5">
        <f>BDS("9980328D US Equity","SUPPLY_CHAIN_SUPPLIERS_FULL_DATA")</f>
        <v/>
      </c>
      <c r="PS5">
        <f>BDS("9980328D US Equity","SUPPLY_CHAIN_CUSTOMERS_FULL_DATA")</f>
        <v/>
      </c>
      <c r="QI5">
        <f>BDS("ALNC US Equity","SUPPLY_CHAIN_SUPPLIERS_FULL_DATA")</f>
        <v/>
      </c>
      <c r="QW5">
        <f>BDS("ALNC US Equity","SUPPLY_CHAIN_CUSTOMERS_FULL_DATA")</f>
        <v/>
      </c>
      <c r="RM5">
        <f>BDS("UMPQ US Equity","SUPPLY_CHAIN_SUPPLIERS_FULL_DATA")</f>
        <v/>
      </c>
      <c r="SA5">
        <f>BDS("UMPQ US Equity","SUPPLY_CHAIN_CUSTOMERS_FULL_DATA")</f>
        <v/>
      </c>
      <c r="SQ5">
        <f>BDS("DGIT US Equity","SUPPLY_CHAIN_SUPPLIERS_FULL_DATA")</f>
        <v/>
      </c>
      <c r="TE5">
        <f>BDS("DGIT US Equity","SUPPLY_CHAIN_CUSTOMERS_FULL_DATA")</f>
        <v/>
      </c>
      <c r="TU5">
        <f>BDS("SBKK US Equity","SUPPLY_CHAIN_SUPPLIERS_FULL_DATA")</f>
        <v/>
      </c>
      <c r="UI5">
        <f>BDS("SBKK US Equity","SUPPLY_CHAIN_CUSTOMERS_FULL_DATA")</f>
        <v/>
      </c>
      <c r="UY5">
        <f>BDS("KTOS US Equity","SUPPLY_CHAIN_SUPPLIERS_FULL_DATA")</f>
        <v/>
      </c>
      <c r="VM5">
        <f>BDS("KTOS US Equity","SUPPLY_CHAIN_CUSTOMERS_FULL_DATA")</f>
        <v/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3961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3962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3963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3964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3965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3966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3967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3968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3969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3970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3971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3972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3973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3974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3975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3976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3977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3978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3979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3980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VSB US Equity</t>
        </is>
      </c>
      <c r="AE2" s="3" t="inlineStr">
        <is>
          <t>ABCB US Equity</t>
        </is>
      </c>
      <c r="BI2" s="3" t="inlineStr">
        <is>
          <t>MKTW US Equity</t>
        </is>
      </c>
      <c r="CM2" s="3" t="inlineStr">
        <is>
          <t>MCYF US Equity</t>
        </is>
      </c>
      <c r="DQ2" s="3" t="inlineStr">
        <is>
          <t>CELPQ US Equity</t>
        </is>
      </c>
      <c r="EU2" s="3" t="inlineStr">
        <is>
          <t>ACNB US Equity</t>
        </is>
      </c>
      <c r="FY2" s="3" t="inlineStr">
        <is>
          <t>CBF US Equity</t>
        </is>
      </c>
      <c r="HC2" s="3" t="inlineStr">
        <is>
          <t>BNBN US Equity</t>
        </is>
      </c>
      <c r="IG2" s="3" t="inlineStr">
        <is>
          <t>3029830Q US Equity</t>
        </is>
      </c>
      <c r="JK2" s="3" t="inlineStr">
        <is>
          <t>696119Q US Equity</t>
        </is>
      </c>
      <c r="KO2" s="3" t="inlineStr">
        <is>
          <t>TIBX US Equity</t>
        </is>
      </c>
      <c r="LS2" s="3" t="inlineStr">
        <is>
          <t>SWK US Equity</t>
        </is>
      </c>
      <c r="MW2" s="3" t="inlineStr">
        <is>
          <t>55148Q US Equity</t>
        </is>
      </c>
      <c r="OA2" s="3" t="inlineStr">
        <is>
          <t>TEG US Equity</t>
        </is>
      </c>
      <c r="PE2" s="3" t="inlineStr">
        <is>
          <t>ALOY US Equity</t>
        </is>
      </c>
      <c r="QI2" s="3" t="inlineStr">
        <is>
          <t>CRXA US Equity</t>
        </is>
      </c>
      <c r="RM2" s="3" t="inlineStr">
        <is>
          <t>1339658D US Equity</t>
        </is>
      </c>
      <c r="SQ2" s="3" t="inlineStr">
        <is>
          <t>CBKN US Equity</t>
        </is>
      </c>
      <c r="TU2" s="3" t="inlineStr">
        <is>
          <t>MORN US Equity</t>
        </is>
      </c>
      <c r="UY2" s="3" t="inlineStr">
        <is>
          <t>ACAS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BDS("VSB US Equity","SUPPLY_CHAIN_SUPPLIERS_FULL_DATA")</f>
        <v/>
      </c>
      <c r="O5">
        <f>BDS("VSB US Equity","SUPPLY_CHAIN_CUSTOMERS_FULL_DATA")</f>
        <v/>
      </c>
      <c r="AE5">
        <f>BDS("ABCB US Equity","SUPPLY_CHAIN_SUPPLIERS_FULL_DATA")</f>
        <v/>
      </c>
      <c r="AS5">
        <f>BDS("ABCB US Equity","SUPPLY_CHAIN_CUSTOMERS_FULL_DATA")</f>
        <v/>
      </c>
      <c r="BI5">
        <f>BDS("MKTW US Equity","SUPPLY_CHAIN_SUPPLIERS_FULL_DATA")</f>
        <v/>
      </c>
      <c r="BW5">
        <f>BDS("MKTW US Equity","SUPPLY_CHAIN_CUSTOMERS_FULL_DATA")</f>
        <v/>
      </c>
      <c r="CM5">
        <f>BDS("MCYF US Equity","SUPPLY_CHAIN_SUPPLIERS_FULL_DATA")</f>
        <v/>
      </c>
      <c r="DA5">
        <f>BDS("MCYF US Equity","SUPPLY_CHAIN_CUSTOMERS_FULL_DATA")</f>
        <v/>
      </c>
      <c r="DQ5">
        <f>BDS("CELPQ US Equity","SUPPLY_CHAIN_SUPPLIERS_FULL_DATA")</f>
        <v/>
      </c>
      <c r="EE5">
        <f>BDS("CELPQ US Equity","SUPPLY_CHAIN_CUSTOMERS_FULL_DATA")</f>
        <v/>
      </c>
      <c r="EU5">
        <f>BDS("ACNB US Equity","SUPPLY_CHAIN_SUPPLIERS_FULL_DATA")</f>
        <v/>
      </c>
      <c r="FI5">
        <f>BDS("ACNB US Equity","SUPPLY_CHAIN_CUSTOMERS_FULL_DATA")</f>
        <v/>
      </c>
      <c r="FY5">
        <f>BDS("CBF US Equity","SUPPLY_CHAIN_SUPPLIERS_FULL_DATA")</f>
        <v/>
      </c>
      <c r="GM5">
        <f>BDS("CBF US Equity","SUPPLY_CHAIN_CUSTOMERS_FULL_DATA")</f>
        <v/>
      </c>
      <c r="HC5">
        <f>BDS("BNBN US Equity","SUPPLY_CHAIN_SUPPLIERS_FULL_DATA")</f>
        <v/>
      </c>
      <c r="HQ5">
        <f>BDS("BNBN US Equity","SUPPLY_CHAIN_CUSTOMERS_FULL_DATA")</f>
        <v/>
      </c>
      <c r="IG5">
        <f>BDS("3029830Q US Equity","SUPPLY_CHAIN_SUPPLIERS_FULL_DATA")</f>
        <v/>
      </c>
      <c r="IU5">
        <f>BDS("3029830Q US Equity","SUPPLY_CHAIN_CUSTOMERS_FULL_DATA")</f>
        <v/>
      </c>
      <c r="JK5">
        <f>BDS("696119Q US Equity","SUPPLY_CHAIN_SUPPLIERS_FULL_DATA")</f>
        <v/>
      </c>
      <c r="JY5">
        <f>BDS("696119Q US Equity","SUPPLY_CHAIN_CUSTOMERS_FULL_DATA")</f>
        <v/>
      </c>
      <c r="KO5">
        <f>BDS("TIBX US Equity","SUPPLY_CHAIN_SUPPLIERS_FULL_DATA")</f>
        <v/>
      </c>
      <c r="LC5">
        <f>BDS("TIBX US Equity","SUPPLY_CHAIN_CUSTOMERS_FULL_DATA")</f>
        <v/>
      </c>
      <c r="LS5">
        <f>BDS("SWK US Equity","SUPPLY_CHAIN_SUPPLIERS_FULL_DATA")</f>
        <v/>
      </c>
      <c r="MG5">
        <f>BDS("SWK US Equity","SUPPLY_CHAIN_CUSTOMERS_FULL_DATA")</f>
        <v/>
      </c>
      <c r="MW5">
        <f>BDS("55148Q US Equity","SUPPLY_CHAIN_SUPPLIERS_FULL_DATA")</f>
        <v/>
      </c>
      <c r="NK5">
        <f>BDS("55148Q US Equity","SUPPLY_CHAIN_CUSTOMERS_FULL_DATA")</f>
        <v/>
      </c>
      <c r="OA5">
        <f>BDS("TEG US Equity","SUPPLY_CHAIN_SUPPLIERS_FULL_DATA")</f>
        <v/>
      </c>
      <c r="OO5">
        <f>BDS("TEG US Equity","SUPPLY_CHAIN_CUSTOMERS_FULL_DATA")</f>
        <v/>
      </c>
      <c r="PE5">
        <f>BDS("ALOY US Equity","SUPPLY_CHAIN_SUPPLIERS_FULL_DATA")</f>
        <v/>
      </c>
      <c r="PS5">
        <f>BDS("ALOY US Equity","SUPPLY_CHAIN_CUSTOMERS_FULL_DATA")</f>
        <v/>
      </c>
      <c r="QI5">
        <f>BDS("CRXA US Equity","SUPPLY_CHAIN_SUPPLIERS_FULL_DATA")</f>
        <v/>
      </c>
      <c r="QW5">
        <f>BDS("CRXA US Equity","SUPPLY_CHAIN_CUSTOMERS_FULL_DATA")</f>
        <v/>
      </c>
      <c r="RM5">
        <f>BDS("1339658D US Equity","SUPPLY_CHAIN_SUPPLIERS_FULL_DATA")</f>
        <v/>
      </c>
      <c r="SA5">
        <f>BDS("1339658D US Equity","SUPPLY_CHAIN_CUSTOMERS_FULL_DATA")</f>
        <v/>
      </c>
      <c r="SQ5">
        <f>BDS("CBKN US Equity","SUPPLY_CHAIN_SUPPLIERS_FULL_DATA")</f>
        <v/>
      </c>
      <c r="TE5">
        <f>BDS("CBKN US Equity","SUPPLY_CHAIN_CUSTOMERS_FULL_DATA")</f>
        <v/>
      </c>
      <c r="TU5">
        <f>BDS("MORN US Equity","SUPPLY_CHAIN_SUPPLIERS_FULL_DATA")</f>
        <v/>
      </c>
      <c r="UI5">
        <f>BDS("MORN US Equity","SUPPLY_CHAIN_CUSTOMERS_FULL_DATA")</f>
        <v/>
      </c>
      <c r="UY5">
        <f>BDS("ACAS US Equity","SUPPLY_CHAIN_SUPPLIERS_FULL_DATA")</f>
        <v/>
      </c>
      <c r="VM5">
        <f>BDS("ACAS US Equity","SUPPLY_CHAIN_CUSTOMERS_FULL_DATA")</f>
        <v/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3981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3982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3983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3984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3985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3986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3987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3988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3989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3990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3991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3992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3993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3994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3995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3996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3997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3998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3999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4000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ESCC US Equity</t>
        </is>
      </c>
      <c r="AE2" s="3" t="inlineStr">
        <is>
          <t>TUPBQ US Equity</t>
        </is>
      </c>
      <c r="BI2" s="3" t="inlineStr">
        <is>
          <t>RCAPQ US Equity</t>
        </is>
      </c>
      <c r="CM2" s="3" t="inlineStr">
        <is>
          <t>ESXB US Equity</t>
        </is>
      </c>
      <c r="DQ2" s="3" t="inlineStr">
        <is>
          <t>FBMS US Equity</t>
        </is>
      </c>
      <c r="EU2" s="3" t="inlineStr">
        <is>
          <t>DVINQ US Equity</t>
        </is>
      </c>
      <c r="FY2" s="3" t="inlineStr">
        <is>
          <t>FNB US Equity</t>
        </is>
      </c>
      <c r="HC2" s="3" t="inlineStr">
        <is>
          <t>DAVLE US Equity</t>
        </is>
      </c>
      <c r="IG2" s="3" t="inlineStr">
        <is>
          <t>987200Q US Equity</t>
        </is>
      </c>
      <c r="JK2" s="3" t="inlineStr">
        <is>
          <t>213339Q US Equity</t>
        </is>
      </c>
      <c r="KO2" s="3" t="inlineStr">
        <is>
          <t>FNWD US Equity</t>
        </is>
      </c>
      <c r="LS2" s="3" t="inlineStr">
        <is>
          <t>PICM US Equity</t>
        </is>
      </c>
      <c r="MW2" s="3" t="inlineStr">
        <is>
          <t>GEN US Equity</t>
        </is>
      </c>
      <c r="OA2" s="3" t="inlineStr">
        <is>
          <t>RLH US Equity</t>
        </is>
      </c>
      <c r="PE2" s="3" t="inlineStr">
        <is>
          <t>IBKC US Equity</t>
        </is>
      </c>
      <c r="QI2" s="3" t="inlineStr">
        <is>
          <t>CKR US Equity</t>
        </is>
      </c>
      <c r="RM2" s="3" t="inlineStr">
        <is>
          <t>DVINQ US Equity</t>
        </is>
      </c>
      <c r="SQ2" s="3" t="inlineStr">
        <is>
          <t>STND US Equity</t>
        </is>
      </c>
      <c r="TU2" s="3" t="inlineStr">
        <is>
          <t>SBKCQ US Equity</t>
        </is>
      </c>
      <c r="UY2" s="3" t="inlineStr">
        <is>
          <t>MTCH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BDS("ESCC US Equity","SUPPLY_CHAIN_SUPPLIERS_FULL_DATA")</f>
        <v/>
      </c>
      <c r="O5">
        <f>BDS("ESCC US Equity","SUPPLY_CHAIN_CUSTOMERS_FULL_DATA")</f>
        <v/>
      </c>
      <c r="AE5">
        <f>BDS("TUPBQ US Equity","SUPPLY_CHAIN_SUPPLIERS_FULL_DATA")</f>
        <v/>
      </c>
      <c r="AS5">
        <f>BDS("TUPBQ US Equity","SUPPLY_CHAIN_CUSTOMERS_FULL_DATA")</f>
        <v/>
      </c>
      <c r="BI5">
        <f>BDS("RCAPQ US Equity","SUPPLY_CHAIN_SUPPLIERS_FULL_DATA")</f>
        <v/>
      </c>
      <c r="BW5">
        <f>BDS("RCAPQ US Equity","SUPPLY_CHAIN_CUSTOMERS_FULL_DATA")</f>
        <v/>
      </c>
      <c r="CM5">
        <f>BDS("ESXB US Equity","SUPPLY_CHAIN_SUPPLIERS_FULL_DATA")</f>
        <v/>
      </c>
      <c r="DA5">
        <f>BDS("ESXB US Equity","SUPPLY_CHAIN_CUSTOMERS_FULL_DATA")</f>
        <v/>
      </c>
      <c r="DQ5">
        <f>BDS("FBMS US Equity","SUPPLY_CHAIN_SUPPLIERS_FULL_DATA")</f>
        <v/>
      </c>
      <c r="EE5">
        <f>BDS("FBMS US Equity","SUPPLY_CHAIN_CUSTOMERS_FULL_DATA")</f>
        <v/>
      </c>
      <c r="EU5">
        <f>BDS("DVINQ US Equity","SUPPLY_CHAIN_SUPPLIERS_FULL_DATA")</f>
        <v/>
      </c>
      <c r="FI5">
        <f>BDS("DVINQ US Equity","SUPPLY_CHAIN_CUSTOMERS_FULL_DATA")</f>
        <v/>
      </c>
      <c r="FY5">
        <f>BDS("FNB US Equity","SUPPLY_CHAIN_SUPPLIERS_FULL_DATA")</f>
        <v/>
      </c>
      <c r="GM5">
        <f>BDS("FNB US Equity","SUPPLY_CHAIN_CUSTOMERS_FULL_DATA")</f>
        <v/>
      </c>
      <c r="HC5">
        <f>BDS("DAVLE US Equity","SUPPLY_CHAIN_SUPPLIERS_FULL_DATA")</f>
        <v/>
      </c>
      <c r="HQ5">
        <f>BDS("DAVLE US Equity","SUPPLY_CHAIN_CUSTOMERS_FULL_DATA")</f>
        <v/>
      </c>
      <c r="IG5">
        <f>BDS("987200Q US Equity","SUPPLY_CHAIN_SUPPLIERS_FULL_DATA")</f>
        <v/>
      </c>
      <c r="IU5">
        <f>BDS("987200Q US Equity","SUPPLY_CHAIN_CUSTOMERS_FULL_DATA")</f>
        <v/>
      </c>
      <c r="JK5">
        <f>BDS("213339Q US Equity","SUPPLY_CHAIN_SUPPLIERS_FULL_DATA")</f>
        <v/>
      </c>
      <c r="JY5">
        <f>BDS("213339Q US Equity","SUPPLY_CHAIN_CUSTOMERS_FULL_DATA")</f>
        <v/>
      </c>
      <c r="KO5">
        <f>BDS("FNWD US Equity","SUPPLY_CHAIN_SUPPLIERS_FULL_DATA")</f>
        <v/>
      </c>
      <c r="LC5">
        <f>BDS("FNWD US Equity","SUPPLY_CHAIN_CUSTOMERS_FULL_DATA")</f>
        <v/>
      </c>
      <c r="LS5">
        <f>BDS("PICM US Equity","SUPPLY_CHAIN_SUPPLIERS_FULL_DATA")</f>
        <v/>
      </c>
      <c r="MG5">
        <f>BDS("PICM US Equity","SUPPLY_CHAIN_CUSTOMERS_FULL_DATA")</f>
        <v/>
      </c>
      <c r="MW5">
        <f>BDS("GEN US Equity","SUPPLY_CHAIN_SUPPLIERS_FULL_DATA")</f>
        <v/>
      </c>
      <c r="NK5">
        <f>BDS("GEN US Equity","SUPPLY_CHAIN_CUSTOMERS_FULL_DATA")</f>
        <v/>
      </c>
      <c r="OA5">
        <f>BDS("RLH US Equity","SUPPLY_CHAIN_SUPPLIERS_FULL_DATA")</f>
        <v/>
      </c>
      <c r="OO5">
        <f>BDS("RLH US Equity","SUPPLY_CHAIN_CUSTOMERS_FULL_DATA")</f>
        <v/>
      </c>
      <c r="PE5">
        <f>BDS("IBKC US Equity","SUPPLY_CHAIN_SUPPLIERS_FULL_DATA")</f>
        <v/>
      </c>
      <c r="PS5">
        <f>BDS("IBKC US Equity","SUPPLY_CHAIN_CUSTOMERS_FULL_DATA")</f>
        <v/>
      </c>
      <c r="QI5">
        <f>BDS("CKR US Equity","SUPPLY_CHAIN_SUPPLIERS_FULL_DATA")</f>
        <v/>
      </c>
      <c r="QW5">
        <f>BDS("CKR US Equity","SUPPLY_CHAIN_CUSTOMERS_FULL_DATA")</f>
        <v/>
      </c>
      <c r="RM5">
        <f>BDS("DVINQ US Equity","SUPPLY_CHAIN_SUPPLIERS_FULL_DATA")</f>
        <v/>
      </c>
      <c r="SA5">
        <f>BDS("DVINQ US Equity","SUPPLY_CHAIN_CUSTOMERS_FULL_DATA")</f>
        <v/>
      </c>
      <c r="SQ5">
        <f>BDS("STND US Equity","SUPPLY_CHAIN_SUPPLIERS_FULL_DATA")</f>
        <v/>
      </c>
      <c r="TE5">
        <f>BDS("STND US Equity","SUPPLY_CHAIN_CUSTOMERS_FULL_DATA")</f>
        <v/>
      </c>
      <c r="TU5">
        <f>BDS("SBKCQ US Equity","SUPPLY_CHAIN_SUPPLIERS_FULL_DATA")</f>
        <v/>
      </c>
      <c r="UI5">
        <f>BDS("SBKCQ US Equity","SUPPLY_CHAIN_CUSTOMERS_FULL_DATA")</f>
        <v/>
      </c>
      <c r="UY5">
        <f>BDS("MTCH US Equity","SUPPLY_CHAIN_SUPPLIERS_FULL_DATA")</f>
        <v/>
      </c>
      <c r="VM5">
        <f>BDS("MTCH US Equity","SUPPLY_CHAIN_CUSTOMERS_FULL_DATA")</f>
        <v/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4002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4003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4004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4005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4006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4007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4008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4009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4010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4011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4012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4013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4014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4015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4016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4017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4018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4019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4020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BX US Equity</t>
        </is>
      </c>
      <c r="AE2" s="3" t="inlineStr">
        <is>
          <t>FBMS US Equity</t>
        </is>
      </c>
      <c r="BI2" s="3" t="inlineStr">
        <is>
          <t>SEAP US Equity</t>
        </is>
      </c>
      <c r="CM2" s="3" t="inlineStr">
        <is>
          <t>605018Q US Equity</t>
        </is>
      </c>
      <c r="DQ2" s="3" t="inlineStr">
        <is>
          <t>HPOL US Equity</t>
        </is>
      </c>
      <c r="EU2" s="3" t="inlineStr">
        <is>
          <t>355488Q US Equity</t>
        </is>
      </c>
      <c r="FY2" s="3" t="inlineStr">
        <is>
          <t>CKEC US Equity</t>
        </is>
      </c>
      <c r="HC2" s="3" t="inlineStr">
        <is>
          <t>8184843Q US Equity</t>
        </is>
      </c>
      <c r="IG2" s="3" t="inlineStr">
        <is>
          <t>KLAC US Equity</t>
        </is>
      </c>
      <c r="JK2" s="3" t="inlineStr">
        <is>
          <t>BKU US Equity</t>
        </is>
      </c>
      <c r="KO2" s="3" t="inlineStr">
        <is>
          <t>PSD US Equity</t>
        </is>
      </c>
      <c r="LS2" s="3" t="inlineStr">
        <is>
          <t>NAL US Equity</t>
        </is>
      </c>
      <c r="MW2" s="3" t="inlineStr">
        <is>
          <t>RLR US Equity</t>
        </is>
      </c>
      <c r="OA2" s="3" t="inlineStr">
        <is>
          <t>AXP US Equity</t>
        </is>
      </c>
      <c r="PE2" s="3" t="inlineStr">
        <is>
          <t>CBFV US Equity</t>
        </is>
      </c>
      <c r="QI2" s="3" t="inlineStr">
        <is>
          <t>2676187Q US Equity</t>
        </is>
      </c>
      <c r="RM2" s="3" t="inlineStr">
        <is>
          <t>RCAPQ US Equity</t>
        </is>
      </c>
      <c r="SQ2" s="3" t="inlineStr">
        <is>
          <t>9990253D US Equity</t>
        </is>
      </c>
      <c r="TU2" s="3" t="inlineStr">
        <is>
          <t>DGII US Equity</t>
        </is>
      </c>
      <c r="UY2" s="3" t="inlineStr">
        <is>
          <t>CNVR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BDS("BX US Equity","SUPPLY_CHAIN_SUPPLIERS_FULL_DATA")</f>
        <v/>
      </c>
      <c r="O5">
        <f>BDS("BX US Equity","SUPPLY_CHAIN_CUSTOMERS_FULL_DATA")</f>
        <v/>
      </c>
      <c r="AE5">
        <f>BDS("FBMS US Equity","SUPPLY_CHAIN_SUPPLIERS_FULL_DATA")</f>
        <v/>
      </c>
      <c r="AS5">
        <f>BDS("FBMS US Equity","SUPPLY_CHAIN_CUSTOMERS_FULL_DATA")</f>
        <v/>
      </c>
      <c r="BI5">
        <f>BDS("SEAP US Equity","SUPPLY_CHAIN_SUPPLIERS_FULL_DATA")</f>
        <v/>
      </c>
      <c r="BW5">
        <f>BDS("SEAP US Equity","SUPPLY_CHAIN_CUSTOMERS_FULL_DATA")</f>
        <v/>
      </c>
      <c r="CM5">
        <f>BDS("605018Q US Equity","SUPPLY_CHAIN_SUPPLIERS_FULL_DATA")</f>
        <v/>
      </c>
      <c r="DA5">
        <f>BDS("605018Q US Equity","SUPPLY_CHAIN_CUSTOMERS_FULL_DATA")</f>
        <v/>
      </c>
      <c r="DQ5">
        <f>BDS("HPOL US Equity","SUPPLY_CHAIN_SUPPLIERS_FULL_DATA")</f>
        <v/>
      </c>
      <c r="EE5">
        <f>BDS("HPOL US Equity","SUPPLY_CHAIN_CUSTOMERS_FULL_DATA")</f>
        <v/>
      </c>
      <c r="EU5">
        <f>BDS("355488Q US Equity","SUPPLY_CHAIN_SUPPLIERS_FULL_DATA")</f>
        <v/>
      </c>
      <c r="FI5">
        <f>BDS("355488Q US Equity","SUPPLY_CHAIN_CUSTOMERS_FULL_DATA")</f>
        <v/>
      </c>
      <c r="FY5">
        <f>BDS("CKEC US Equity","SUPPLY_CHAIN_SUPPLIERS_FULL_DATA")</f>
        <v/>
      </c>
      <c r="GM5">
        <f>BDS("CKEC US Equity","SUPPLY_CHAIN_CUSTOMERS_FULL_DATA")</f>
        <v/>
      </c>
      <c r="HC5">
        <f>BDS("8184843Q US Equity","SUPPLY_CHAIN_SUPPLIERS_FULL_DATA")</f>
        <v/>
      </c>
      <c r="HQ5">
        <f>BDS("8184843Q US Equity","SUPPLY_CHAIN_CUSTOMERS_FULL_DATA")</f>
        <v/>
      </c>
      <c r="IG5">
        <f>BDS("KLAC US Equity","SUPPLY_CHAIN_SUPPLIERS_FULL_DATA")</f>
        <v/>
      </c>
      <c r="IU5">
        <f>BDS("KLAC US Equity","SUPPLY_CHAIN_CUSTOMERS_FULL_DATA")</f>
        <v/>
      </c>
      <c r="JK5">
        <f>BDS("BKU US Equity","SUPPLY_CHAIN_SUPPLIERS_FULL_DATA")</f>
        <v/>
      </c>
      <c r="JY5">
        <f>BDS("BKU US Equity","SUPPLY_CHAIN_CUSTOMERS_FULL_DATA")</f>
        <v/>
      </c>
      <c r="KO5">
        <f>BDS("PSD US Equity","SUPPLY_CHAIN_SUPPLIERS_FULL_DATA")</f>
        <v/>
      </c>
      <c r="LC5">
        <f>BDS("PSD US Equity","SUPPLY_CHAIN_CUSTOMERS_FULL_DATA")</f>
        <v/>
      </c>
      <c r="LS5">
        <f>BDS("NAL US Equity","SUPPLY_CHAIN_SUPPLIERS_FULL_DATA")</f>
        <v/>
      </c>
      <c r="MG5">
        <f>BDS("NAL US Equity","SUPPLY_CHAIN_CUSTOMERS_FULL_DATA")</f>
        <v/>
      </c>
      <c r="MW5">
        <f>BDS("RLR US Equity","SUPPLY_CHAIN_SUPPLIERS_FULL_DATA")</f>
        <v/>
      </c>
      <c r="NK5">
        <f>BDS("RLR US Equity","SUPPLY_CHAIN_CUSTOMERS_FULL_DATA")</f>
        <v/>
      </c>
      <c r="OA5">
        <f>BDS("AXP US Equity","SUPPLY_CHAIN_SUPPLIERS_FULL_DATA")</f>
        <v/>
      </c>
      <c r="OO5">
        <f>BDS("AXP US Equity","SUPPLY_CHAIN_CUSTOMERS_FULL_DATA")</f>
        <v/>
      </c>
      <c r="PE5">
        <f>BDS("CBFV US Equity","SUPPLY_CHAIN_SUPPLIERS_FULL_DATA")</f>
        <v/>
      </c>
      <c r="PS5">
        <f>BDS("CBFV US Equity","SUPPLY_CHAIN_CUSTOMERS_FULL_DATA")</f>
        <v/>
      </c>
      <c r="QI5">
        <f>BDS("2676187Q US Equity","SUPPLY_CHAIN_SUPPLIERS_FULL_DATA")</f>
        <v/>
      </c>
      <c r="QW5">
        <f>BDS("2676187Q US Equity","SUPPLY_CHAIN_CUSTOMERS_FULL_DATA")</f>
        <v/>
      </c>
      <c r="RM5">
        <f>BDS("RCAPQ US Equity","SUPPLY_CHAIN_SUPPLIERS_FULL_DATA")</f>
        <v/>
      </c>
      <c r="SA5">
        <f>BDS("RCAPQ US Equity","SUPPLY_CHAIN_CUSTOMERS_FULL_DATA")</f>
        <v/>
      </c>
      <c r="SQ5">
        <f>BDS("9990253D US Equity","SUPPLY_CHAIN_SUPPLIERS_FULL_DATA")</f>
        <v/>
      </c>
      <c r="TE5">
        <f>BDS("9990253D US Equity","SUPPLY_CHAIN_CUSTOMERS_FULL_DATA")</f>
        <v/>
      </c>
      <c r="TU5">
        <f>BDS("DGII US Equity","SUPPLY_CHAIN_SUPPLIERS_FULL_DATA")</f>
        <v/>
      </c>
      <c r="UI5">
        <f>BDS("DGII US Equity","SUPPLY_CHAIN_CUSTOMERS_FULL_DATA")</f>
        <v/>
      </c>
      <c r="UY5">
        <f>BDS("CNVR US Equity","SUPPLY_CHAIN_SUPPLIERS_FULL_DATA")</f>
        <v/>
      </c>
      <c r="VM5">
        <f>BDS("CNVR US Equity","SUPPLY_CHAIN_CUSTOMERS_FULL_DATA")</f>
        <v/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4022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4023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4024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4025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4026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4027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4028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4029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4030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4031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4032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4033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4034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4035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4036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4037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4038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4039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4040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FBA US Equity</t>
        </is>
      </c>
      <c r="AE2" s="3" t="inlineStr">
        <is>
          <t>OLBK US Equity</t>
        </is>
      </c>
      <c r="BI2" s="3" t="inlineStr">
        <is>
          <t>540513Q US Equity</t>
        </is>
      </c>
      <c r="CM2" s="3" t="inlineStr">
        <is>
          <t>ESXB US Equity</t>
        </is>
      </c>
      <c r="DQ2" s="3" t="inlineStr">
        <is>
          <t>KBAL US Equity</t>
        </is>
      </c>
      <c r="EU2" s="3" t="inlineStr">
        <is>
          <t>TOBC US Equity</t>
        </is>
      </c>
      <c r="FY2" s="3" t="inlineStr">
        <is>
          <t>GFR US Equity</t>
        </is>
      </c>
      <c r="HC2" s="3" t="inlineStr">
        <is>
          <t>MSI US Equity</t>
        </is>
      </c>
      <c r="IG2" s="3" t="inlineStr">
        <is>
          <t>NTUS US Equity</t>
        </is>
      </c>
      <c r="JK2" s="3" t="inlineStr">
        <is>
          <t>GABC US Equity</t>
        </is>
      </c>
      <c r="KO2" s="3" t="inlineStr">
        <is>
          <t>TFC US Equity</t>
        </is>
      </c>
      <c r="LS2" s="3" t="inlineStr">
        <is>
          <t>NFBK US Equity</t>
        </is>
      </c>
      <c r="MW2" s="3" t="inlineStr">
        <is>
          <t>BVH US Equity</t>
        </is>
      </c>
      <c r="OA2" s="3" t="inlineStr">
        <is>
          <t>LKQ US Equity</t>
        </is>
      </c>
      <c r="PE2" s="3" t="inlineStr">
        <is>
          <t>FJCC US Equity</t>
        </is>
      </c>
      <c r="QI2" s="3" t="inlineStr">
        <is>
          <t>HET US Equity</t>
        </is>
      </c>
      <c r="RM2" s="3" t="inlineStr">
        <is>
          <t>LAMR US Equity</t>
        </is>
      </c>
      <c r="SQ2" s="3" t="inlineStr">
        <is>
          <t>FCCO US Equity</t>
        </is>
      </c>
      <c r="TU2" s="3" t="inlineStr">
        <is>
          <t>FTBK US Equity</t>
        </is>
      </c>
      <c r="UY2" s="3" t="inlineStr">
        <is>
          <t>CVOVQ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BDS("FBA US Equity","SUPPLY_CHAIN_SUPPLIERS_FULL_DATA")</f>
        <v/>
      </c>
      <c r="O5">
        <f>BDS("FBA US Equity","SUPPLY_CHAIN_CUSTOMERS_FULL_DATA")</f>
        <v/>
      </c>
      <c r="AE5">
        <f>BDS("OLBK US Equity","SUPPLY_CHAIN_SUPPLIERS_FULL_DATA")</f>
        <v/>
      </c>
      <c r="AS5">
        <f>BDS("OLBK US Equity","SUPPLY_CHAIN_CUSTOMERS_FULL_DATA")</f>
        <v/>
      </c>
      <c r="BI5">
        <f>BDS("540513Q US Equity","SUPPLY_CHAIN_SUPPLIERS_FULL_DATA")</f>
        <v/>
      </c>
      <c r="BW5">
        <f>BDS("540513Q US Equity","SUPPLY_CHAIN_CUSTOMERS_FULL_DATA")</f>
        <v/>
      </c>
      <c r="CM5">
        <f>BDS("ESXB US Equity","SUPPLY_CHAIN_SUPPLIERS_FULL_DATA")</f>
        <v/>
      </c>
      <c r="DA5">
        <f>BDS("ESXB US Equity","SUPPLY_CHAIN_CUSTOMERS_FULL_DATA")</f>
        <v/>
      </c>
      <c r="DQ5">
        <f>BDS("KBAL US Equity","SUPPLY_CHAIN_SUPPLIERS_FULL_DATA")</f>
        <v/>
      </c>
      <c r="EE5">
        <f>BDS("KBAL US Equity","SUPPLY_CHAIN_CUSTOMERS_FULL_DATA")</f>
        <v/>
      </c>
      <c r="EU5">
        <f>BDS("TOBC US Equity","SUPPLY_CHAIN_SUPPLIERS_FULL_DATA")</f>
        <v/>
      </c>
      <c r="FI5">
        <f>BDS("TOBC US Equity","SUPPLY_CHAIN_CUSTOMERS_FULL_DATA")</f>
        <v/>
      </c>
      <c r="FY5">
        <f>BDS("GFR US Equity","SUPPLY_CHAIN_SUPPLIERS_FULL_DATA")</f>
        <v/>
      </c>
      <c r="GM5">
        <f>BDS("GFR US Equity","SUPPLY_CHAIN_CUSTOMERS_FULL_DATA")</f>
        <v/>
      </c>
      <c r="HC5">
        <f>BDS("MSI US Equity","SUPPLY_CHAIN_SUPPLIERS_FULL_DATA")</f>
        <v/>
      </c>
      <c r="HQ5">
        <f>BDS("MSI US Equity","SUPPLY_CHAIN_CUSTOMERS_FULL_DATA")</f>
        <v/>
      </c>
      <c r="IG5">
        <f>BDS("NTUS US Equity","SUPPLY_CHAIN_SUPPLIERS_FULL_DATA")</f>
        <v/>
      </c>
      <c r="IU5">
        <f>BDS("NTUS US Equity","SUPPLY_CHAIN_CUSTOMERS_FULL_DATA")</f>
        <v/>
      </c>
      <c r="JK5">
        <f>BDS("GABC US Equity","SUPPLY_CHAIN_SUPPLIERS_FULL_DATA")</f>
        <v/>
      </c>
      <c r="JY5">
        <f>BDS("GABC US Equity","SUPPLY_CHAIN_CUSTOMERS_FULL_DATA")</f>
        <v/>
      </c>
      <c r="KO5">
        <f>BDS("TFC US Equity","SUPPLY_CHAIN_SUPPLIERS_FULL_DATA")</f>
        <v/>
      </c>
      <c r="LC5">
        <f>BDS("TFC US Equity","SUPPLY_CHAIN_CUSTOMERS_FULL_DATA")</f>
        <v/>
      </c>
      <c r="LS5">
        <f>BDS("NFBK US Equity","SUPPLY_CHAIN_SUPPLIERS_FULL_DATA")</f>
        <v/>
      </c>
      <c r="MG5">
        <f>BDS("NFBK US Equity","SUPPLY_CHAIN_CUSTOMERS_FULL_DATA")</f>
        <v/>
      </c>
      <c r="MW5">
        <f>BDS("BVH US Equity","SUPPLY_CHAIN_SUPPLIERS_FULL_DATA")</f>
        <v/>
      </c>
      <c r="NK5">
        <f>BDS("BVH US Equity","SUPPLY_CHAIN_CUSTOMERS_FULL_DATA")</f>
        <v/>
      </c>
      <c r="OA5">
        <f>BDS("LKQ US Equity","SUPPLY_CHAIN_SUPPLIERS_FULL_DATA")</f>
        <v/>
      </c>
      <c r="OO5">
        <f>BDS("LKQ US Equity","SUPPLY_CHAIN_CUSTOMERS_FULL_DATA")</f>
        <v/>
      </c>
      <c r="PE5">
        <f>BDS("FJCC US Equity","SUPPLY_CHAIN_SUPPLIERS_FULL_DATA")</f>
        <v/>
      </c>
      <c r="PS5">
        <f>BDS("FJCC US Equity","SUPPLY_CHAIN_CUSTOMERS_FULL_DATA")</f>
        <v/>
      </c>
      <c r="QI5">
        <f>BDS("HET US Equity","SUPPLY_CHAIN_SUPPLIERS_FULL_DATA")</f>
        <v/>
      </c>
      <c r="QW5">
        <f>BDS("HET US Equity","SUPPLY_CHAIN_CUSTOMERS_FULL_DATA")</f>
        <v/>
      </c>
      <c r="RM5">
        <f>BDS("LAMR US Equity","SUPPLY_CHAIN_SUPPLIERS_FULL_DATA")</f>
        <v/>
      </c>
      <c r="SA5">
        <f>BDS("LAMR US Equity","SUPPLY_CHAIN_CUSTOMERS_FULL_DATA")</f>
        <v/>
      </c>
      <c r="SQ5">
        <f>BDS("FCCO US Equity","SUPPLY_CHAIN_SUPPLIERS_FULL_DATA")</f>
        <v/>
      </c>
      <c r="TE5">
        <f>BDS("FCCO US Equity","SUPPLY_CHAIN_CUSTOMERS_FULL_DATA")</f>
        <v/>
      </c>
      <c r="TU5">
        <f>BDS("FTBK US Equity","SUPPLY_CHAIN_SUPPLIERS_FULL_DATA")</f>
        <v/>
      </c>
      <c r="UI5">
        <f>BDS("FTBK US Equity","SUPPLY_CHAIN_CUSTOMERS_FULL_DATA")</f>
        <v/>
      </c>
      <c r="UY5">
        <f>BDS("CVOVQ US Equity","SUPPLY_CHAIN_SUPPLIERS_FULL_DATA")</f>
        <v/>
      </c>
      <c r="VM5">
        <f>BDS("CVOVQ US Equity","SUPPLY_CHAIN_CUSTOMERS_FULL_DATA")</f>
        <v/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4041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4042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4043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4044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4045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4046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4047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4048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4049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4050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4051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4052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4053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4054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4055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4056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4057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4058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4059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4060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2310330D US Equity</t>
        </is>
      </c>
      <c r="AE2" s="3" t="inlineStr">
        <is>
          <t>PFBI US Equity</t>
        </is>
      </c>
      <c r="BI2" s="3" t="inlineStr">
        <is>
          <t>RIVE US Equity</t>
        </is>
      </c>
      <c r="CM2" s="3" t="inlineStr">
        <is>
          <t>SBNC US Equity</t>
        </is>
      </c>
      <c r="DQ2" s="3" t="inlineStr">
        <is>
          <t>HAE US Equity</t>
        </is>
      </c>
      <c r="EU2" s="3" t="inlineStr">
        <is>
          <t>RCKT US Equity</t>
        </is>
      </c>
      <c r="FY2" s="3" t="inlineStr">
        <is>
          <t>HTBK US Equity</t>
        </is>
      </c>
      <c r="HC2" s="3" t="inlineStr">
        <is>
          <t>FORR US Equity</t>
        </is>
      </c>
      <c r="IG2" s="3" t="inlineStr">
        <is>
          <t>BCAL US Equity</t>
        </is>
      </c>
      <c r="JK2" s="3" t="inlineStr">
        <is>
          <t>679882Q US Equity</t>
        </is>
      </c>
      <c r="KO2" s="3" t="inlineStr">
        <is>
          <t>FCCY US Equity</t>
        </is>
      </c>
      <c r="LS2" s="3" t="inlineStr">
        <is>
          <t>HILL US Equity</t>
        </is>
      </c>
      <c r="MW2" s="3" t="inlineStr">
        <is>
          <t>HWC US Equity</t>
        </is>
      </c>
      <c r="OA2" s="3" t="inlineStr">
        <is>
          <t>HU US Equity</t>
        </is>
      </c>
      <c r="PE2" s="3" t="inlineStr">
        <is>
          <t>3470770Q US Equity</t>
        </is>
      </c>
      <c r="QI2" s="3" t="inlineStr">
        <is>
          <t>EQT US Equity</t>
        </is>
      </c>
      <c r="RM2" s="3" t="inlineStr">
        <is>
          <t>UB US Equity</t>
        </is>
      </c>
      <c r="SQ2" s="3" t="inlineStr">
        <is>
          <t>VEXPQ US Equity</t>
        </is>
      </c>
      <c r="TU2" s="3" t="inlineStr">
        <is>
          <t>NWKC US Equity</t>
        </is>
      </c>
      <c r="UY2" s="3" t="inlineStr">
        <is>
          <t>ECL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BDS("2310330D US Equity","SUPPLY_CHAIN_SUPPLIERS_FULL_DATA")</f>
        <v/>
      </c>
      <c r="O5">
        <f>BDS("2310330D US Equity","SUPPLY_CHAIN_CUSTOMERS_FULL_DATA")</f>
        <v/>
      </c>
      <c r="AE5">
        <f>BDS("PFBI US Equity","SUPPLY_CHAIN_SUPPLIERS_FULL_DATA")</f>
        <v/>
      </c>
      <c r="AS5">
        <f>BDS("PFBI US Equity","SUPPLY_CHAIN_CUSTOMERS_FULL_DATA")</f>
        <v/>
      </c>
      <c r="BI5">
        <f>BDS("RIVE US Equity","SUPPLY_CHAIN_SUPPLIERS_FULL_DATA")</f>
        <v/>
      </c>
      <c r="BW5">
        <f>BDS("RIVE US Equity","SUPPLY_CHAIN_CUSTOMERS_FULL_DATA")</f>
        <v/>
      </c>
      <c r="CM5">
        <f>BDS("SBNC US Equity","SUPPLY_CHAIN_SUPPLIERS_FULL_DATA")</f>
        <v/>
      </c>
      <c r="DA5">
        <f>BDS("SBNC US Equity","SUPPLY_CHAIN_CUSTOMERS_FULL_DATA")</f>
        <v/>
      </c>
      <c r="DQ5">
        <f>BDS("HAE US Equity","SUPPLY_CHAIN_SUPPLIERS_FULL_DATA")</f>
        <v/>
      </c>
      <c r="EE5">
        <f>BDS("HAE US Equity","SUPPLY_CHAIN_CUSTOMERS_FULL_DATA")</f>
        <v/>
      </c>
      <c r="EU5">
        <f>BDS("RCKT US Equity","SUPPLY_CHAIN_SUPPLIERS_FULL_DATA")</f>
        <v/>
      </c>
      <c r="FI5">
        <f>BDS("RCKT US Equity","SUPPLY_CHAIN_CUSTOMERS_FULL_DATA")</f>
        <v/>
      </c>
      <c r="FY5">
        <f>BDS("HTBK US Equity","SUPPLY_CHAIN_SUPPLIERS_FULL_DATA")</f>
        <v/>
      </c>
      <c r="GM5">
        <f>BDS("HTBK US Equity","SUPPLY_CHAIN_CUSTOMERS_FULL_DATA")</f>
        <v/>
      </c>
      <c r="HC5">
        <f>BDS("FORR US Equity","SUPPLY_CHAIN_SUPPLIERS_FULL_DATA")</f>
        <v/>
      </c>
      <c r="HQ5">
        <f>BDS("FORR US Equity","SUPPLY_CHAIN_CUSTOMERS_FULL_DATA")</f>
        <v/>
      </c>
      <c r="IG5">
        <f>BDS("BCAL US Equity","SUPPLY_CHAIN_SUPPLIERS_FULL_DATA")</f>
        <v/>
      </c>
      <c r="IU5">
        <f>BDS("BCAL US Equity","SUPPLY_CHAIN_CUSTOMERS_FULL_DATA")</f>
        <v/>
      </c>
      <c r="JK5">
        <f>BDS("679882Q US Equity","SUPPLY_CHAIN_SUPPLIERS_FULL_DATA")</f>
        <v/>
      </c>
      <c r="JY5">
        <f>BDS("679882Q US Equity","SUPPLY_CHAIN_CUSTOMERS_FULL_DATA")</f>
        <v/>
      </c>
      <c r="KO5">
        <f>BDS("FCCY US Equity","SUPPLY_CHAIN_SUPPLIERS_FULL_DATA")</f>
        <v/>
      </c>
      <c r="LC5">
        <f>BDS("FCCY US Equity","SUPPLY_CHAIN_CUSTOMERS_FULL_DATA")</f>
        <v/>
      </c>
      <c r="LS5">
        <f>BDS("HILL US Equity","SUPPLY_CHAIN_SUPPLIERS_FULL_DATA")</f>
        <v/>
      </c>
      <c r="MG5">
        <f>BDS("HILL US Equity","SUPPLY_CHAIN_CUSTOMERS_FULL_DATA")</f>
        <v/>
      </c>
      <c r="MW5">
        <f>BDS("HWC US Equity","SUPPLY_CHAIN_SUPPLIERS_FULL_DATA")</f>
        <v/>
      </c>
      <c r="NK5">
        <f>BDS("HWC US Equity","SUPPLY_CHAIN_CUSTOMERS_FULL_DATA")</f>
        <v/>
      </c>
      <c r="OA5">
        <f>BDS("HU US Equity","SUPPLY_CHAIN_SUPPLIERS_FULL_DATA")</f>
        <v/>
      </c>
      <c r="OO5">
        <f>BDS("HU US Equity","SUPPLY_CHAIN_CUSTOMERS_FULL_DATA")</f>
        <v/>
      </c>
      <c r="PE5">
        <f>BDS("3470770Q US Equity","SUPPLY_CHAIN_SUPPLIERS_FULL_DATA")</f>
        <v/>
      </c>
      <c r="PS5">
        <f>BDS("3470770Q US Equity","SUPPLY_CHAIN_CUSTOMERS_FULL_DATA")</f>
        <v/>
      </c>
      <c r="QI5">
        <f>BDS("EQT US Equity","SUPPLY_CHAIN_SUPPLIERS_FULL_DATA")</f>
        <v/>
      </c>
      <c r="QW5">
        <f>BDS("EQT US Equity","SUPPLY_CHAIN_CUSTOMERS_FULL_DATA")</f>
        <v/>
      </c>
      <c r="RM5">
        <f>BDS("UB US Equity","SUPPLY_CHAIN_SUPPLIERS_FULL_DATA")</f>
        <v/>
      </c>
      <c r="SA5">
        <f>BDS("UB US Equity","SUPPLY_CHAIN_CUSTOMERS_FULL_DATA")</f>
        <v/>
      </c>
      <c r="SQ5">
        <f>BDS("VEXPQ US Equity","SUPPLY_CHAIN_SUPPLIERS_FULL_DATA")</f>
        <v/>
      </c>
      <c r="TE5">
        <f>BDS("VEXPQ US Equity","SUPPLY_CHAIN_CUSTOMERS_FULL_DATA")</f>
        <v/>
      </c>
      <c r="TU5">
        <f>BDS("NWKC US Equity","SUPPLY_CHAIN_SUPPLIERS_FULL_DATA")</f>
        <v/>
      </c>
      <c r="UI5">
        <f>BDS("NWKC US Equity","SUPPLY_CHAIN_CUSTOMERS_FULL_DATA")</f>
        <v/>
      </c>
      <c r="UY5">
        <f>BDS("ECL US Equity","SUPPLY_CHAIN_SUPPLIERS_FULL_DATA")</f>
        <v/>
      </c>
      <c r="VM5">
        <f>BDS("ECL US Equity","SUPPLY_CHAIN_CUSTOMERS_FULL_DATA")</f>
        <v/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4061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4062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4063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4064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4065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4066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4067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4068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4069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4070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4071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4072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4073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4074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4075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4076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4077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4078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4079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4080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MOFG US Equity</t>
        </is>
      </c>
      <c r="AE2" s="3" t="inlineStr">
        <is>
          <t>RJET US Equity</t>
        </is>
      </c>
      <c r="BI2" s="3" t="inlineStr">
        <is>
          <t>STXN US Equity</t>
        </is>
      </c>
      <c r="CM2" s="3" t="inlineStr">
        <is>
          <t>IART US Equity</t>
        </is>
      </c>
      <c r="DQ2" s="3" t="inlineStr">
        <is>
          <t>IBM US Equity</t>
        </is>
      </c>
      <c r="EU2" s="3" t="inlineStr">
        <is>
          <t>CWLM US Equity</t>
        </is>
      </c>
      <c r="FY2" s="3" t="inlineStr">
        <is>
          <t>PWOD US Equity</t>
        </is>
      </c>
      <c r="HC2" s="3" t="inlineStr">
        <is>
          <t>2598Q US Equity</t>
        </is>
      </c>
      <c r="IG2" s="3" t="inlineStr">
        <is>
          <t>PRK US Equity</t>
        </is>
      </c>
      <c r="JK2" s="3" t="inlineStr">
        <is>
          <t>BCBP US Equity</t>
        </is>
      </c>
      <c r="KO2" s="3" t="inlineStr">
        <is>
          <t>HNBC US Equity</t>
        </is>
      </c>
      <c r="LS2" s="3" t="inlineStr">
        <is>
          <t>COLB US Equity</t>
        </is>
      </c>
      <c r="MW2" s="3" t="inlineStr">
        <is>
          <t>GMST US Equity</t>
        </is>
      </c>
      <c r="OA2" s="3" t="inlineStr">
        <is>
          <t>TTN US Equity</t>
        </is>
      </c>
      <c r="PE2" s="3" t="inlineStr">
        <is>
          <t>PICZQ US Equity</t>
        </is>
      </c>
      <c r="QI2" s="3" t="inlineStr">
        <is>
          <t>SLFI US Equity</t>
        </is>
      </c>
      <c r="RM2" s="3" t="inlineStr">
        <is>
          <t>PCBK US Equity</t>
        </is>
      </c>
      <c r="SQ2" s="3" t="inlineStr">
        <is>
          <t>SDAB US Equity</t>
        </is>
      </c>
      <c r="TU2" s="3" t="inlineStr">
        <is>
          <t>3518429Q US Equity</t>
        </is>
      </c>
      <c r="UY2" s="3" t="inlineStr">
        <is>
          <t>WBS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BDS("MOFG US Equity","SUPPLY_CHAIN_SUPPLIERS_FULL_DATA")</f>
        <v/>
      </c>
      <c r="O5">
        <f>BDS("MOFG US Equity","SUPPLY_CHAIN_CUSTOMERS_FULL_DATA")</f>
        <v/>
      </c>
      <c r="AE5">
        <f>BDS("RJET US Equity","SUPPLY_CHAIN_SUPPLIERS_FULL_DATA")</f>
        <v/>
      </c>
      <c r="AS5">
        <f>BDS("RJET US Equity","SUPPLY_CHAIN_CUSTOMERS_FULL_DATA")</f>
        <v/>
      </c>
      <c r="BI5">
        <f>BDS("STXN US Equity","SUPPLY_CHAIN_SUPPLIERS_FULL_DATA")</f>
        <v/>
      </c>
      <c r="BW5">
        <f>BDS("STXN US Equity","SUPPLY_CHAIN_CUSTOMERS_FULL_DATA")</f>
        <v/>
      </c>
      <c r="CM5">
        <f>BDS("IART US Equity","SUPPLY_CHAIN_SUPPLIERS_FULL_DATA")</f>
        <v/>
      </c>
      <c r="DA5">
        <f>BDS("IART US Equity","SUPPLY_CHAIN_CUSTOMERS_FULL_DATA")</f>
        <v/>
      </c>
      <c r="DQ5">
        <f>BDS("IBM US Equity","SUPPLY_CHAIN_SUPPLIERS_FULL_DATA")</f>
        <v/>
      </c>
      <c r="EE5">
        <f>BDS("IBM US Equity","SUPPLY_CHAIN_CUSTOMERS_FULL_DATA")</f>
        <v/>
      </c>
      <c r="EU5">
        <f>BDS("CWLM US Equity","SUPPLY_CHAIN_SUPPLIERS_FULL_DATA")</f>
        <v/>
      </c>
      <c r="FI5">
        <f>BDS("CWLM US Equity","SUPPLY_CHAIN_CUSTOMERS_FULL_DATA")</f>
        <v/>
      </c>
      <c r="FY5">
        <f>BDS("PWOD US Equity","SUPPLY_CHAIN_SUPPLIERS_FULL_DATA")</f>
        <v/>
      </c>
      <c r="GM5">
        <f>BDS("PWOD US Equity","SUPPLY_CHAIN_CUSTOMERS_FULL_DATA")</f>
        <v/>
      </c>
      <c r="HC5">
        <f>BDS("2598Q US Equity","SUPPLY_CHAIN_SUPPLIERS_FULL_DATA")</f>
        <v/>
      </c>
      <c r="HQ5">
        <f>BDS("2598Q US Equity","SUPPLY_CHAIN_CUSTOMERS_FULL_DATA")</f>
        <v/>
      </c>
      <c r="IG5">
        <f>BDS("PRK US Equity","SUPPLY_CHAIN_SUPPLIERS_FULL_DATA")</f>
        <v/>
      </c>
      <c r="IU5">
        <f>BDS("PRK US Equity","SUPPLY_CHAIN_CUSTOMERS_FULL_DATA")</f>
        <v/>
      </c>
      <c r="JK5">
        <f>BDS("BCBP US Equity","SUPPLY_CHAIN_SUPPLIERS_FULL_DATA")</f>
        <v/>
      </c>
      <c r="JY5">
        <f>BDS("BCBP US Equity","SUPPLY_CHAIN_CUSTOMERS_FULL_DATA")</f>
        <v/>
      </c>
      <c r="KO5">
        <f>BDS("HNBC US Equity","SUPPLY_CHAIN_SUPPLIERS_FULL_DATA")</f>
        <v/>
      </c>
      <c r="LC5">
        <f>BDS("HNBC US Equity","SUPPLY_CHAIN_CUSTOMERS_FULL_DATA")</f>
        <v/>
      </c>
      <c r="LS5">
        <f>BDS("COLB US Equity","SUPPLY_CHAIN_SUPPLIERS_FULL_DATA")</f>
        <v/>
      </c>
      <c r="MG5">
        <f>BDS("COLB US Equity","SUPPLY_CHAIN_CUSTOMERS_FULL_DATA")</f>
        <v/>
      </c>
      <c r="MW5">
        <f>BDS("GMST US Equity","SUPPLY_CHAIN_SUPPLIERS_FULL_DATA")</f>
        <v/>
      </c>
      <c r="NK5">
        <f>BDS("GMST US Equity","SUPPLY_CHAIN_CUSTOMERS_FULL_DATA")</f>
        <v/>
      </c>
      <c r="OA5">
        <f>BDS("TTN US Equity","SUPPLY_CHAIN_SUPPLIERS_FULL_DATA")</f>
        <v/>
      </c>
      <c r="OO5">
        <f>BDS("TTN US Equity","SUPPLY_CHAIN_CUSTOMERS_FULL_DATA")</f>
        <v/>
      </c>
      <c r="PE5">
        <f>BDS("PICZQ US Equity","SUPPLY_CHAIN_SUPPLIERS_FULL_DATA")</f>
        <v/>
      </c>
      <c r="PS5">
        <f>BDS("PICZQ US Equity","SUPPLY_CHAIN_CUSTOMERS_FULL_DATA")</f>
        <v/>
      </c>
      <c r="QI5">
        <f>BDS("SLFI US Equity","SUPPLY_CHAIN_SUPPLIERS_FULL_DATA")</f>
        <v/>
      </c>
      <c r="QW5">
        <f>BDS("SLFI US Equity","SUPPLY_CHAIN_CUSTOMERS_FULL_DATA")</f>
        <v/>
      </c>
      <c r="RM5">
        <f>BDS("PCBK US Equity","SUPPLY_CHAIN_SUPPLIERS_FULL_DATA")</f>
        <v/>
      </c>
      <c r="SA5">
        <f>BDS("PCBK US Equity","SUPPLY_CHAIN_CUSTOMERS_FULL_DATA")</f>
        <v/>
      </c>
      <c r="SQ5">
        <f>BDS("SDAB US Equity","SUPPLY_CHAIN_SUPPLIERS_FULL_DATA")</f>
        <v/>
      </c>
      <c r="TE5">
        <f>BDS("SDAB US Equity","SUPPLY_CHAIN_CUSTOMERS_FULL_DATA")</f>
        <v/>
      </c>
      <c r="TU5">
        <f>BDS("3518429Q US Equity","SUPPLY_CHAIN_SUPPLIERS_FULL_DATA")</f>
        <v/>
      </c>
      <c r="UI5">
        <f>BDS("3518429Q US Equity","SUPPLY_CHAIN_CUSTOMERS_FULL_DATA")</f>
        <v/>
      </c>
      <c r="UY5">
        <f>BDS("WBS US Equity","SUPPLY_CHAIN_SUPPLIERS_FULL_DATA")</f>
        <v/>
      </c>
      <c r="VM5">
        <f>BDS("WBS US Equity","SUPPLY_CHAIN_CUSTOMERS_FULL_DATA")</f>
        <v/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4081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4082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4083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4084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4085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4086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4087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4088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4089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4090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4091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4092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4093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4094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4095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4096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4097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4098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4099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4100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SMMF US Equity</t>
        </is>
      </c>
      <c r="AE2" s="3" t="inlineStr">
        <is>
          <t>3075558Q US Equity</t>
        </is>
      </c>
      <c r="BI2" s="3" t="inlineStr">
        <is>
          <t>FFOH US Equity</t>
        </is>
      </c>
      <c r="CM2" s="3" t="inlineStr">
        <is>
          <t>IEP US Equity</t>
        </is>
      </c>
      <c r="DQ2" s="3" t="inlineStr">
        <is>
          <t>MSFG US Equity</t>
        </is>
      </c>
      <c r="EU2" s="3" t="inlineStr">
        <is>
          <t>SBBX US Equity</t>
        </is>
      </c>
      <c r="FY2" s="3" t="inlineStr">
        <is>
          <t>GBBK US Equity</t>
        </is>
      </c>
      <c r="HC2" s="3" t="inlineStr">
        <is>
          <t>2318580D US Equity</t>
        </is>
      </c>
      <c r="IG2" s="3" t="inlineStr">
        <is>
          <t>CARO US Equity</t>
        </is>
      </c>
      <c r="JK2" s="3" t="inlineStr">
        <is>
          <t>APOL US Equity</t>
        </is>
      </c>
      <c r="KO2" s="3" t="inlineStr">
        <is>
          <t>FNIN US Equity</t>
        </is>
      </c>
      <c r="LS2" s="3" t="inlineStr">
        <is>
          <t>ETFC US Equity</t>
        </is>
      </c>
      <c r="MW2" s="3" t="inlineStr">
        <is>
          <t>BMRC US Equity</t>
        </is>
      </c>
      <c r="OA2" s="3" t="inlineStr">
        <is>
          <t>ORCL US Equity</t>
        </is>
      </c>
      <c r="PE2" s="3" t="inlineStr">
        <is>
          <t>KGM US Equity</t>
        </is>
      </c>
      <c r="QI2" s="3" t="inlineStr">
        <is>
          <t>SPLP US Equity</t>
        </is>
      </c>
      <c r="RM2" s="3" t="inlineStr">
        <is>
          <t>CLDA US Equity</t>
        </is>
      </c>
      <c r="SQ2" s="3" t="inlineStr">
        <is>
          <t>FNLC US Equity</t>
        </is>
      </c>
      <c r="TU2" s="3" t="inlineStr">
        <is>
          <t>CICN US Equity</t>
        </is>
      </c>
      <c r="UY2" s="3" t="inlineStr">
        <is>
          <t>PGI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BDS("SMMF US Equity","SUPPLY_CHAIN_SUPPLIERS_FULL_DATA")</f>
        <v/>
      </c>
      <c r="O5">
        <f>BDS("SMMF US Equity","SUPPLY_CHAIN_CUSTOMERS_FULL_DATA")</f>
        <v/>
      </c>
      <c r="AE5">
        <f>BDS("3075558Q US Equity","SUPPLY_CHAIN_SUPPLIERS_FULL_DATA")</f>
        <v/>
      </c>
      <c r="AS5">
        <f>BDS("3075558Q US Equity","SUPPLY_CHAIN_CUSTOMERS_FULL_DATA")</f>
        <v/>
      </c>
      <c r="BI5">
        <f>BDS("FFOH US Equity","SUPPLY_CHAIN_SUPPLIERS_FULL_DATA")</f>
        <v/>
      </c>
      <c r="BW5">
        <f>BDS("FFOH US Equity","SUPPLY_CHAIN_CUSTOMERS_FULL_DATA")</f>
        <v/>
      </c>
      <c r="CM5">
        <f>BDS("IEP US Equity","SUPPLY_CHAIN_SUPPLIERS_FULL_DATA")</f>
        <v/>
      </c>
      <c r="DA5">
        <f>BDS("IEP US Equity","SUPPLY_CHAIN_CUSTOMERS_FULL_DATA")</f>
        <v/>
      </c>
      <c r="DQ5">
        <f>BDS("MSFG US Equity","SUPPLY_CHAIN_SUPPLIERS_FULL_DATA")</f>
        <v/>
      </c>
      <c r="EE5">
        <f>BDS("MSFG US Equity","SUPPLY_CHAIN_CUSTOMERS_FULL_DATA")</f>
        <v/>
      </c>
      <c r="EU5">
        <f>BDS("SBBX US Equity","SUPPLY_CHAIN_SUPPLIERS_FULL_DATA")</f>
        <v/>
      </c>
      <c r="FI5">
        <f>BDS("SBBX US Equity","SUPPLY_CHAIN_CUSTOMERS_FULL_DATA")</f>
        <v/>
      </c>
      <c r="FY5">
        <f>BDS("GBBK US Equity","SUPPLY_CHAIN_SUPPLIERS_FULL_DATA")</f>
        <v/>
      </c>
      <c r="GM5">
        <f>BDS("GBBK US Equity","SUPPLY_CHAIN_CUSTOMERS_FULL_DATA")</f>
        <v/>
      </c>
      <c r="HC5">
        <f>BDS("2318580D US Equity","SUPPLY_CHAIN_SUPPLIERS_FULL_DATA")</f>
        <v/>
      </c>
      <c r="HQ5">
        <f>BDS("2318580D US Equity","SUPPLY_CHAIN_CUSTOMERS_FULL_DATA")</f>
        <v/>
      </c>
      <c r="IG5">
        <f>BDS("CARO US Equity","SUPPLY_CHAIN_SUPPLIERS_FULL_DATA")</f>
        <v/>
      </c>
      <c r="IU5">
        <f>BDS("CARO US Equity","SUPPLY_CHAIN_CUSTOMERS_FULL_DATA")</f>
        <v/>
      </c>
      <c r="JK5">
        <f>BDS("APOL US Equity","SUPPLY_CHAIN_SUPPLIERS_FULL_DATA")</f>
        <v/>
      </c>
      <c r="JY5">
        <f>BDS("APOL US Equity","SUPPLY_CHAIN_CUSTOMERS_FULL_DATA")</f>
        <v/>
      </c>
      <c r="KO5">
        <f>BDS("FNIN US Equity","SUPPLY_CHAIN_SUPPLIERS_FULL_DATA")</f>
        <v/>
      </c>
      <c r="LC5">
        <f>BDS("FNIN US Equity","SUPPLY_CHAIN_CUSTOMERS_FULL_DATA")</f>
        <v/>
      </c>
      <c r="LS5">
        <f>BDS("ETFC US Equity","SUPPLY_CHAIN_SUPPLIERS_FULL_DATA")</f>
        <v/>
      </c>
      <c r="MG5">
        <f>BDS("ETFC US Equity","SUPPLY_CHAIN_CUSTOMERS_FULL_DATA")</f>
        <v/>
      </c>
      <c r="MW5">
        <f>BDS("BMRC US Equity","SUPPLY_CHAIN_SUPPLIERS_FULL_DATA")</f>
        <v/>
      </c>
      <c r="NK5">
        <f>BDS("BMRC US Equity","SUPPLY_CHAIN_CUSTOMERS_FULL_DATA")</f>
        <v/>
      </c>
      <c r="OA5">
        <f>BDS("ORCL US Equity","SUPPLY_CHAIN_SUPPLIERS_FULL_DATA")</f>
        <v/>
      </c>
      <c r="OO5">
        <f>BDS("ORCL US Equity","SUPPLY_CHAIN_CUSTOMERS_FULL_DATA")</f>
        <v/>
      </c>
      <c r="PE5">
        <f>BDS("KGM US Equity","SUPPLY_CHAIN_SUPPLIERS_FULL_DATA")</f>
        <v/>
      </c>
      <c r="PS5">
        <f>BDS("KGM US Equity","SUPPLY_CHAIN_CUSTOMERS_FULL_DATA")</f>
        <v/>
      </c>
      <c r="QI5">
        <f>BDS("SPLP US Equity","SUPPLY_CHAIN_SUPPLIERS_FULL_DATA")</f>
        <v/>
      </c>
      <c r="QW5">
        <f>BDS("SPLP US Equity","SUPPLY_CHAIN_CUSTOMERS_FULL_DATA")</f>
        <v/>
      </c>
      <c r="RM5">
        <f>BDS("CLDA US Equity","SUPPLY_CHAIN_SUPPLIERS_FULL_DATA")</f>
        <v/>
      </c>
      <c r="SA5">
        <f>BDS("CLDA US Equity","SUPPLY_CHAIN_CUSTOMERS_FULL_DATA")</f>
        <v/>
      </c>
      <c r="SQ5">
        <f>BDS("FNLC US Equity","SUPPLY_CHAIN_SUPPLIERS_FULL_DATA")</f>
        <v/>
      </c>
      <c r="TE5">
        <f>BDS("FNLC US Equity","SUPPLY_CHAIN_CUSTOMERS_FULL_DATA")</f>
        <v/>
      </c>
      <c r="TU5">
        <f>BDS("CICN US Equity","SUPPLY_CHAIN_SUPPLIERS_FULL_DATA")</f>
        <v/>
      </c>
      <c r="UI5">
        <f>BDS("CICN US Equity","SUPPLY_CHAIN_CUSTOMERS_FULL_DATA")</f>
        <v/>
      </c>
      <c r="UY5">
        <f>BDS("PGI US Equity","SUPPLY_CHAIN_SUPPLIERS_FULL_DATA")</f>
        <v/>
      </c>
      <c r="VM5">
        <f>BDS("PGI US Equity","SUPPLY_CHAIN_CUSTOMERS_FULL_DATA")</f>
        <v/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4101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4102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4103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4104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4105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4106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4107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4108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4109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4110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4111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4112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4113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4114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4115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4116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4117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4118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4119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4120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CJBK US Equity</t>
        </is>
      </c>
      <c r="AE2" s="3" t="inlineStr">
        <is>
          <t>ANLD US Equity</t>
        </is>
      </c>
      <c r="BI2" s="3" t="inlineStr">
        <is>
          <t>HAIN US Equity</t>
        </is>
      </c>
      <c r="CM2" s="3" t="inlineStr">
        <is>
          <t>ENERQ US Equity</t>
        </is>
      </c>
      <c r="DQ2" s="3" t="inlineStr">
        <is>
          <t>NGEN US Equity</t>
        </is>
      </c>
      <c r="EU2" s="3" t="inlineStr">
        <is>
          <t>MCK US Equity</t>
        </is>
      </c>
      <c r="FY2" s="3" t="inlineStr">
        <is>
          <t>NETM US Equity</t>
        </is>
      </c>
      <c r="HC2" s="3" t="inlineStr">
        <is>
          <t>SUSQ US Equity</t>
        </is>
      </c>
      <c r="IG2" s="3" t="inlineStr">
        <is>
          <t>SASR US Equity</t>
        </is>
      </c>
      <c r="JK2" s="3" t="inlineStr">
        <is>
          <t>MCLDQ US Equity</t>
        </is>
      </c>
      <c r="KO2" s="3" t="inlineStr">
        <is>
          <t>ZANYQ US Equity</t>
        </is>
      </c>
      <c r="LS2" s="3" t="inlineStr">
        <is>
          <t>BKH US Equity</t>
        </is>
      </c>
      <c r="MW2" s="3" t="inlineStr">
        <is>
          <t>CNMD US Equity</t>
        </is>
      </c>
      <c r="OA2" s="3" t="inlineStr">
        <is>
          <t>FHI US Equity</t>
        </is>
      </c>
      <c r="PE2" s="3" t="inlineStr">
        <is>
          <t>SJNB US Equity</t>
        </is>
      </c>
      <c r="QI2" s="3" t="inlineStr">
        <is>
          <t>CACI US Equity</t>
        </is>
      </c>
      <c r="RM2" s="3" t="inlineStr">
        <is>
          <t>BSBN US Equity</t>
        </is>
      </c>
      <c r="SQ2" s="3" t="inlineStr">
        <is>
          <t>3562186Q US Equity</t>
        </is>
      </c>
      <c r="TU2" s="3" t="inlineStr">
        <is>
          <t>BLKB US Equity</t>
        </is>
      </c>
      <c r="UY2" s="3" t="inlineStr">
        <is>
          <t>PRGS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BDS("CJBK US Equity","SUPPLY_CHAIN_SUPPLIERS_FULL_DATA")</f>
        <v/>
      </c>
      <c r="O5">
        <f>BDS("CJBK US Equity","SUPPLY_CHAIN_CUSTOMERS_FULL_DATA")</f>
        <v/>
      </c>
      <c r="AE5">
        <f>BDS("ANLD US Equity","SUPPLY_CHAIN_SUPPLIERS_FULL_DATA")</f>
        <v/>
      </c>
      <c r="AS5">
        <f>BDS("ANLD US Equity","SUPPLY_CHAIN_CUSTOMERS_FULL_DATA")</f>
        <v/>
      </c>
      <c r="BI5">
        <f>BDS("HAIN US Equity","SUPPLY_CHAIN_SUPPLIERS_FULL_DATA")</f>
        <v/>
      </c>
      <c r="BW5">
        <f>BDS("HAIN US Equity","SUPPLY_CHAIN_CUSTOMERS_FULL_DATA")</f>
        <v/>
      </c>
      <c r="CM5">
        <f>BDS("ENERQ US Equity","SUPPLY_CHAIN_SUPPLIERS_FULL_DATA")</f>
        <v/>
      </c>
      <c r="DA5">
        <f>BDS("ENERQ US Equity","SUPPLY_CHAIN_CUSTOMERS_FULL_DATA")</f>
        <v/>
      </c>
      <c r="DQ5">
        <f>BDS("NGEN US Equity","SUPPLY_CHAIN_SUPPLIERS_FULL_DATA")</f>
        <v/>
      </c>
      <c r="EE5">
        <f>BDS("NGEN US Equity","SUPPLY_CHAIN_CUSTOMERS_FULL_DATA")</f>
        <v/>
      </c>
      <c r="EU5">
        <f>BDS("MCK US Equity","SUPPLY_CHAIN_SUPPLIERS_FULL_DATA")</f>
        <v/>
      </c>
      <c r="FI5">
        <f>BDS("MCK US Equity","SUPPLY_CHAIN_CUSTOMERS_FULL_DATA")</f>
        <v/>
      </c>
      <c r="FY5">
        <f>BDS("NETM US Equity","SUPPLY_CHAIN_SUPPLIERS_FULL_DATA")</f>
        <v/>
      </c>
      <c r="GM5">
        <f>BDS("NETM US Equity","SUPPLY_CHAIN_CUSTOMERS_FULL_DATA")</f>
        <v/>
      </c>
      <c r="HC5">
        <f>BDS("SUSQ US Equity","SUPPLY_CHAIN_SUPPLIERS_FULL_DATA")</f>
        <v/>
      </c>
      <c r="HQ5">
        <f>BDS("SUSQ US Equity","SUPPLY_CHAIN_CUSTOMERS_FULL_DATA")</f>
        <v/>
      </c>
      <c r="IG5">
        <f>BDS("SASR US Equity","SUPPLY_CHAIN_SUPPLIERS_FULL_DATA")</f>
        <v/>
      </c>
      <c r="IU5">
        <f>BDS("SASR US Equity","SUPPLY_CHAIN_CUSTOMERS_FULL_DATA")</f>
        <v/>
      </c>
      <c r="JK5">
        <f>BDS("MCLDQ US Equity","SUPPLY_CHAIN_SUPPLIERS_FULL_DATA")</f>
        <v/>
      </c>
      <c r="JY5">
        <f>BDS("MCLDQ US Equity","SUPPLY_CHAIN_CUSTOMERS_FULL_DATA")</f>
        <v/>
      </c>
      <c r="KO5">
        <f>BDS("ZANYQ US Equity","SUPPLY_CHAIN_SUPPLIERS_FULL_DATA")</f>
        <v/>
      </c>
      <c r="LC5">
        <f>BDS("ZANYQ US Equity","SUPPLY_CHAIN_CUSTOMERS_FULL_DATA")</f>
        <v/>
      </c>
      <c r="LS5">
        <f>BDS("BKH US Equity","SUPPLY_CHAIN_SUPPLIERS_FULL_DATA")</f>
        <v/>
      </c>
      <c r="MG5">
        <f>BDS("BKH US Equity","SUPPLY_CHAIN_CUSTOMERS_FULL_DATA")</f>
        <v/>
      </c>
      <c r="MW5">
        <f>BDS("CNMD US Equity","SUPPLY_CHAIN_SUPPLIERS_FULL_DATA")</f>
        <v/>
      </c>
      <c r="NK5">
        <f>BDS("CNMD US Equity","SUPPLY_CHAIN_CUSTOMERS_FULL_DATA")</f>
        <v/>
      </c>
      <c r="OA5">
        <f>BDS("FHI US Equity","SUPPLY_CHAIN_SUPPLIERS_FULL_DATA")</f>
        <v/>
      </c>
      <c r="OO5">
        <f>BDS("FHI US Equity","SUPPLY_CHAIN_CUSTOMERS_FULL_DATA")</f>
        <v/>
      </c>
      <c r="PE5">
        <f>BDS("SJNB US Equity","SUPPLY_CHAIN_SUPPLIERS_FULL_DATA")</f>
        <v/>
      </c>
      <c r="PS5">
        <f>BDS("SJNB US Equity","SUPPLY_CHAIN_CUSTOMERS_FULL_DATA")</f>
        <v/>
      </c>
      <c r="QI5">
        <f>BDS("CACI US Equity","SUPPLY_CHAIN_SUPPLIERS_FULL_DATA")</f>
        <v/>
      </c>
      <c r="QW5">
        <f>BDS("CACI US Equity","SUPPLY_CHAIN_CUSTOMERS_FULL_DATA")</f>
        <v/>
      </c>
      <c r="RM5">
        <f>BDS("BSBN US Equity","SUPPLY_CHAIN_SUPPLIERS_FULL_DATA")</f>
        <v/>
      </c>
      <c r="SA5">
        <f>BDS("BSBN US Equity","SUPPLY_CHAIN_CUSTOMERS_FULL_DATA")</f>
        <v/>
      </c>
      <c r="SQ5">
        <f>BDS("3562186Q US Equity","SUPPLY_CHAIN_SUPPLIERS_FULL_DATA")</f>
        <v/>
      </c>
      <c r="TE5">
        <f>BDS("3562186Q US Equity","SUPPLY_CHAIN_CUSTOMERS_FULL_DATA")</f>
        <v/>
      </c>
      <c r="TU5">
        <f>BDS("BLKB US Equity","SUPPLY_CHAIN_SUPPLIERS_FULL_DATA")</f>
        <v/>
      </c>
      <c r="UI5">
        <f>BDS("BLKB US Equity","SUPPLY_CHAIN_CUSTOMERS_FULL_DATA")</f>
        <v/>
      </c>
      <c r="UY5">
        <f>BDS("PRGS US Equity","SUPPLY_CHAIN_SUPPLIERS_FULL_DATA")</f>
        <v/>
      </c>
      <c r="VM5">
        <f>BDS("PRGS US Equity","SUPPLY_CHAIN_CUSTOMERS_FULL_DATA")</f>
        <v/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4121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4122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4123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4124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4125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4126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4127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4128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4129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4130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4131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4132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4133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4134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4135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4136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4137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4138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4139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4140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1448062D US Equity</t>
        </is>
      </c>
      <c r="AE2" s="3" t="inlineStr">
        <is>
          <t>MBCRQ US Equity</t>
        </is>
      </c>
      <c r="BI2" s="3" t="inlineStr">
        <is>
          <t>COHR US Equity</t>
        </is>
      </c>
      <c r="CM2" s="3" t="inlineStr">
        <is>
          <t>UCB US Equity</t>
        </is>
      </c>
      <c r="DQ2" s="3" t="inlineStr">
        <is>
          <t>TYPE US Equity</t>
        </is>
      </c>
      <c r="EU2" s="3" t="inlineStr">
        <is>
          <t>RBBN US Equity</t>
        </is>
      </c>
      <c r="FY2" s="3" t="inlineStr">
        <is>
          <t>WTFC US Equity</t>
        </is>
      </c>
      <c r="HC2" s="3" t="inlineStr">
        <is>
          <t>1763635D US Equity</t>
        </is>
      </c>
      <c r="IG2" s="3" t="inlineStr">
        <is>
          <t>ILA US Equity</t>
        </is>
      </c>
      <c r="JK2" s="3" t="inlineStr">
        <is>
          <t>3470770Q US Equity</t>
        </is>
      </c>
      <c r="KO2" s="3" t="inlineStr">
        <is>
          <t>CFR US Equity</t>
        </is>
      </c>
      <c r="LS2" s="3" t="inlineStr">
        <is>
          <t>INVA US Equity</t>
        </is>
      </c>
      <c r="MW2" s="3" t="inlineStr">
        <is>
          <t>CBU US Equity</t>
        </is>
      </c>
      <c r="OA2" s="3" t="inlineStr">
        <is>
          <t>VRSOQ US Equity</t>
        </is>
      </c>
      <c r="PE2" s="3" t="inlineStr">
        <is>
          <t>TLSW US Equity</t>
        </is>
      </c>
      <c r="QI2" s="3" t="inlineStr">
        <is>
          <t>SSB US Equity</t>
        </is>
      </c>
      <c r="RM2" s="3" t="inlineStr">
        <is>
          <t>539355Q US Equity</t>
        </is>
      </c>
      <c r="SQ2" s="3" t="inlineStr">
        <is>
          <t>DHMS US Equity</t>
        </is>
      </c>
      <c r="TU2" s="3" t="inlineStr">
        <is>
          <t>NNN US Equity</t>
        </is>
      </c>
      <c r="UY2" s="3" t="inlineStr">
        <is>
          <t>NBTB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BDS("1448062D US Equity","SUPPLY_CHAIN_SUPPLIERS_FULL_DATA")</f>
        <v/>
      </c>
      <c r="O5">
        <f>BDS("1448062D US Equity","SUPPLY_CHAIN_CUSTOMERS_FULL_DATA")</f>
        <v/>
      </c>
      <c r="AE5">
        <f>BDS("MBCRQ US Equity","SUPPLY_CHAIN_SUPPLIERS_FULL_DATA")</f>
        <v/>
      </c>
      <c r="AS5">
        <f>BDS("MBCRQ US Equity","SUPPLY_CHAIN_CUSTOMERS_FULL_DATA")</f>
        <v/>
      </c>
      <c r="BI5">
        <f>BDS("COHR US Equity","SUPPLY_CHAIN_SUPPLIERS_FULL_DATA")</f>
        <v/>
      </c>
      <c r="BW5">
        <f>BDS("COHR US Equity","SUPPLY_CHAIN_CUSTOMERS_FULL_DATA")</f>
        <v/>
      </c>
      <c r="CM5">
        <f>BDS("UCB US Equity","SUPPLY_CHAIN_SUPPLIERS_FULL_DATA")</f>
        <v/>
      </c>
      <c r="DA5">
        <f>BDS("UCB US Equity","SUPPLY_CHAIN_CUSTOMERS_FULL_DATA")</f>
        <v/>
      </c>
      <c r="DQ5">
        <f>BDS("TYPE US Equity","SUPPLY_CHAIN_SUPPLIERS_FULL_DATA")</f>
        <v/>
      </c>
      <c r="EE5">
        <f>BDS("TYPE US Equity","SUPPLY_CHAIN_CUSTOMERS_FULL_DATA")</f>
        <v/>
      </c>
      <c r="EU5">
        <f>BDS("RBBN US Equity","SUPPLY_CHAIN_SUPPLIERS_FULL_DATA")</f>
        <v/>
      </c>
      <c r="FI5">
        <f>BDS("RBBN US Equity","SUPPLY_CHAIN_CUSTOMERS_FULL_DATA")</f>
        <v/>
      </c>
      <c r="FY5">
        <f>BDS("WTFC US Equity","SUPPLY_CHAIN_SUPPLIERS_FULL_DATA")</f>
        <v/>
      </c>
      <c r="GM5">
        <f>BDS("WTFC US Equity","SUPPLY_CHAIN_CUSTOMERS_FULL_DATA")</f>
        <v/>
      </c>
      <c r="HC5">
        <f>BDS("1763635D US Equity","SUPPLY_CHAIN_SUPPLIERS_FULL_DATA")</f>
        <v/>
      </c>
      <c r="HQ5">
        <f>BDS("1763635D US Equity","SUPPLY_CHAIN_CUSTOMERS_FULL_DATA")</f>
        <v/>
      </c>
      <c r="IG5">
        <f>BDS("ILA US Equity","SUPPLY_CHAIN_SUPPLIERS_FULL_DATA")</f>
        <v/>
      </c>
      <c r="IU5">
        <f>BDS("ILA US Equity","SUPPLY_CHAIN_CUSTOMERS_FULL_DATA")</f>
        <v/>
      </c>
      <c r="JK5">
        <f>BDS("3470770Q US Equity","SUPPLY_CHAIN_SUPPLIERS_FULL_DATA")</f>
        <v/>
      </c>
      <c r="JY5">
        <f>BDS("3470770Q US Equity","SUPPLY_CHAIN_CUSTOMERS_FULL_DATA")</f>
        <v/>
      </c>
      <c r="KO5">
        <f>BDS("CFR US Equity","SUPPLY_CHAIN_SUPPLIERS_FULL_DATA")</f>
        <v/>
      </c>
      <c r="LC5">
        <f>BDS("CFR US Equity","SUPPLY_CHAIN_CUSTOMERS_FULL_DATA")</f>
        <v/>
      </c>
      <c r="LS5">
        <f>BDS("INVA US Equity","SUPPLY_CHAIN_SUPPLIERS_FULL_DATA")</f>
        <v/>
      </c>
      <c r="MG5">
        <f>BDS("INVA US Equity","SUPPLY_CHAIN_CUSTOMERS_FULL_DATA")</f>
        <v/>
      </c>
      <c r="MW5">
        <f>BDS("CBU US Equity","SUPPLY_CHAIN_SUPPLIERS_FULL_DATA")</f>
        <v/>
      </c>
      <c r="NK5">
        <f>BDS("CBU US Equity","SUPPLY_CHAIN_CUSTOMERS_FULL_DATA")</f>
        <v/>
      </c>
      <c r="OA5">
        <f>BDS("VRSOQ US Equity","SUPPLY_CHAIN_SUPPLIERS_FULL_DATA")</f>
        <v/>
      </c>
      <c r="OO5">
        <f>BDS("VRSOQ US Equity","SUPPLY_CHAIN_CUSTOMERS_FULL_DATA")</f>
        <v/>
      </c>
      <c r="PE5">
        <f>BDS("TLSW US Equity","SUPPLY_CHAIN_SUPPLIERS_FULL_DATA")</f>
        <v/>
      </c>
      <c r="PS5">
        <f>BDS("TLSW US Equity","SUPPLY_CHAIN_CUSTOMERS_FULL_DATA")</f>
        <v/>
      </c>
      <c r="QI5">
        <f>BDS("SSB US Equity","SUPPLY_CHAIN_SUPPLIERS_FULL_DATA")</f>
        <v/>
      </c>
      <c r="QW5">
        <f>BDS("SSB US Equity","SUPPLY_CHAIN_CUSTOMERS_FULL_DATA")</f>
        <v/>
      </c>
      <c r="RM5">
        <f>BDS("539355Q US Equity","SUPPLY_CHAIN_SUPPLIERS_FULL_DATA")</f>
        <v/>
      </c>
      <c r="SA5">
        <f>BDS("539355Q US Equity","SUPPLY_CHAIN_CUSTOMERS_FULL_DATA")</f>
        <v/>
      </c>
      <c r="SQ5">
        <f>BDS("DHMS US Equity","SUPPLY_CHAIN_SUPPLIERS_FULL_DATA")</f>
        <v/>
      </c>
      <c r="TE5">
        <f>BDS("DHMS US Equity","SUPPLY_CHAIN_CUSTOMERS_FULL_DATA")</f>
        <v/>
      </c>
      <c r="TU5">
        <f>BDS("NNN US Equity","SUPPLY_CHAIN_SUPPLIERS_FULL_DATA")</f>
        <v/>
      </c>
      <c r="UI5">
        <f>BDS("NNN US Equity","SUPPLY_CHAIN_CUSTOMERS_FULL_DATA")</f>
        <v/>
      </c>
      <c r="UY5">
        <f>BDS("NBTB US Equity","SUPPLY_CHAIN_SUPPLIERS_FULL_DATA")</f>
        <v/>
      </c>
      <c r="VM5">
        <f>BDS("NBTB US Equity","SUPPLY_CHAIN_CUSTOMERS_FULL_DATA")</f>
        <v/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4141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4142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4143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4144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4145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4146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4147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4148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4149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4150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4151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4152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4153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4154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4155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4156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4157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4158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4159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4160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COLB US Equity</t>
        </is>
      </c>
      <c r="AE2" s="3" t="inlineStr">
        <is>
          <t>MNAT US Equity</t>
        </is>
      </c>
      <c r="BI2" s="3" t="inlineStr">
        <is>
          <t>CFNL US Equity</t>
        </is>
      </c>
      <c r="CM2" s="3" t="inlineStr">
        <is>
          <t>BERK US Equity</t>
        </is>
      </c>
      <c r="DQ2" s="3" t="inlineStr">
        <is>
          <t>WASH US Equity</t>
        </is>
      </c>
      <c r="EU2" s="3" t="inlineStr">
        <is>
          <t>AGEN US Equity</t>
        </is>
      </c>
      <c r="FY2" s="3" t="inlineStr">
        <is>
          <t>540513Q US Equity</t>
        </is>
      </c>
      <c r="HC2" s="3" t="inlineStr">
        <is>
          <t>JKHY US Equity</t>
        </is>
      </c>
      <c r="IG2" s="3" t="inlineStr">
        <is>
          <t>CVBF US Equity</t>
        </is>
      </c>
      <c r="JK2" s="3" t="inlineStr">
        <is>
          <t>QVDX US Equity</t>
        </is>
      </c>
      <c r="KO2" s="3" t="inlineStr">
        <is>
          <t>SFTGQ US Equity</t>
        </is>
      </c>
      <c r="LS2" s="3" t="inlineStr">
        <is>
          <t>SBCF US Equity</t>
        </is>
      </c>
      <c r="MW2" s="3" t="inlineStr">
        <is>
          <t>GBBK US Equity</t>
        </is>
      </c>
      <c r="OA2" s="3" t="inlineStr">
        <is>
          <t>ISRG US Equity</t>
        </is>
      </c>
      <c r="PE2" s="3" t="inlineStr">
        <is>
          <t>PCBK US Equity</t>
        </is>
      </c>
      <c r="QI2" s="3" t="inlineStr">
        <is>
          <t>AURU US Equity</t>
        </is>
      </c>
      <c r="RM2" s="3" t="inlineStr">
        <is>
          <t>YDKN US Equity</t>
        </is>
      </c>
      <c r="SQ2" s="3" t="inlineStr">
        <is>
          <t>OLBK US Equity</t>
        </is>
      </c>
      <c r="TU2" s="3" t="inlineStr">
        <is>
          <t>3195391Z US Equity</t>
        </is>
      </c>
      <c r="UY2" s="3" t="inlineStr">
        <is>
          <t>ABCWQ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BDS("COLB US Equity","SUPPLY_CHAIN_SUPPLIERS_FULL_DATA")</f>
        <v/>
      </c>
      <c r="O5">
        <f>BDS("COLB US Equity","SUPPLY_CHAIN_CUSTOMERS_FULL_DATA")</f>
        <v/>
      </c>
      <c r="AE5">
        <f>BDS("MNAT US Equity","SUPPLY_CHAIN_SUPPLIERS_FULL_DATA")</f>
        <v/>
      </c>
      <c r="AS5">
        <f>BDS("MNAT US Equity","SUPPLY_CHAIN_CUSTOMERS_FULL_DATA")</f>
        <v/>
      </c>
      <c r="BI5">
        <f>BDS("CFNL US Equity","SUPPLY_CHAIN_SUPPLIERS_FULL_DATA")</f>
        <v/>
      </c>
      <c r="BW5">
        <f>BDS("CFNL US Equity","SUPPLY_CHAIN_CUSTOMERS_FULL_DATA")</f>
        <v/>
      </c>
      <c r="CM5">
        <f>BDS("BERK US Equity","SUPPLY_CHAIN_SUPPLIERS_FULL_DATA")</f>
        <v/>
      </c>
      <c r="DA5">
        <f>BDS("BERK US Equity","SUPPLY_CHAIN_CUSTOMERS_FULL_DATA")</f>
        <v/>
      </c>
      <c r="DQ5">
        <f>BDS("WASH US Equity","SUPPLY_CHAIN_SUPPLIERS_FULL_DATA")</f>
        <v/>
      </c>
      <c r="EE5">
        <f>BDS("WASH US Equity","SUPPLY_CHAIN_CUSTOMERS_FULL_DATA")</f>
        <v/>
      </c>
      <c r="EU5">
        <f>BDS("AGEN US Equity","SUPPLY_CHAIN_SUPPLIERS_FULL_DATA")</f>
        <v/>
      </c>
      <c r="FI5">
        <f>BDS("AGEN US Equity","SUPPLY_CHAIN_CUSTOMERS_FULL_DATA")</f>
        <v/>
      </c>
      <c r="FY5">
        <f>BDS("540513Q US Equity","SUPPLY_CHAIN_SUPPLIERS_FULL_DATA")</f>
        <v/>
      </c>
      <c r="GM5">
        <f>BDS("540513Q US Equity","SUPPLY_CHAIN_CUSTOMERS_FULL_DATA")</f>
        <v/>
      </c>
      <c r="HC5">
        <f>BDS("JKHY US Equity","SUPPLY_CHAIN_SUPPLIERS_FULL_DATA")</f>
        <v/>
      </c>
      <c r="HQ5">
        <f>BDS("JKHY US Equity","SUPPLY_CHAIN_CUSTOMERS_FULL_DATA")</f>
        <v/>
      </c>
      <c r="IG5">
        <f>BDS("CVBF US Equity","SUPPLY_CHAIN_SUPPLIERS_FULL_DATA")</f>
        <v/>
      </c>
      <c r="IU5">
        <f>BDS("CVBF US Equity","SUPPLY_CHAIN_CUSTOMERS_FULL_DATA")</f>
        <v/>
      </c>
      <c r="JK5">
        <f>BDS("QVDX US Equity","SUPPLY_CHAIN_SUPPLIERS_FULL_DATA")</f>
        <v/>
      </c>
      <c r="JY5">
        <f>BDS("QVDX US Equity","SUPPLY_CHAIN_CUSTOMERS_FULL_DATA")</f>
        <v/>
      </c>
      <c r="KO5">
        <f>BDS("SFTGQ US Equity","SUPPLY_CHAIN_SUPPLIERS_FULL_DATA")</f>
        <v/>
      </c>
      <c r="LC5">
        <f>BDS("SFTGQ US Equity","SUPPLY_CHAIN_CUSTOMERS_FULL_DATA")</f>
        <v/>
      </c>
      <c r="LS5">
        <f>BDS("SBCF US Equity","SUPPLY_CHAIN_SUPPLIERS_FULL_DATA")</f>
        <v/>
      </c>
      <c r="MG5">
        <f>BDS("SBCF US Equity","SUPPLY_CHAIN_CUSTOMERS_FULL_DATA")</f>
        <v/>
      </c>
      <c r="MW5">
        <f>BDS("GBBK US Equity","SUPPLY_CHAIN_SUPPLIERS_FULL_DATA")</f>
        <v/>
      </c>
      <c r="NK5">
        <f>BDS("GBBK US Equity","SUPPLY_CHAIN_CUSTOMERS_FULL_DATA")</f>
        <v/>
      </c>
      <c r="OA5">
        <f>BDS("ISRG US Equity","SUPPLY_CHAIN_SUPPLIERS_FULL_DATA")</f>
        <v/>
      </c>
      <c r="OO5">
        <f>BDS("ISRG US Equity","SUPPLY_CHAIN_CUSTOMERS_FULL_DATA")</f>
        <v/>
      </c>
      <c r="PE5">
        <f>BDS("PCBK US Equity","SUPPLY_CHAIN_SUPPLIERS_FULL_DATA")</f>
        <v/>
      </c>
      <c r="PS5">
        <f>BDS("PCBK US Equity","SUPPLY_CHAIN_CUSTOMERS_FULL_DATA")</f>
        <v/>
      </c>
      <c r="QI5">
        <f>BDS("AURU US Equity","SUPPLY_CHAIN_SUPPLIERS_FULL_DATA")</f>
        <v/>
      </c>
      <c r="QW5">
        <f>BDS("AURU US Equity","SUPPLY_CHAIN_CUSTOMERS_FULL_DATA")</f>
        <v/>
      </c>
      <c r="RM5">
        <f>BDS("YDKN US Equity","SUPPLY_CHAIN_SUPPLIERS_FULL_DATA")</f>
        <v/>
      </c>
      <c r="SA5">
        <f>BDS("YDKN US Equity","SUPPLY_CHAIN_CUSTOMERS_FULL_DATA")</f>
        <v/>
      </c>
      <c r="SQ5">
        <f>BDS("OLBK US Equity","SUPPLY_CHAIN_SUPPLIERS_FULL_DATA")</f>
        <v/>
      </c>
      <c r="TE5">
        <f>BDS("OLBK US Equity","SUPPLY_CHAIN_CUSTOMERS_FULL_DATA")</f>
        <v/>
      </c>
      <c r="TU5">
        <f>BDS("3195391Z US Equity","SUPPLY_CHAIN_SUPPLIERS_FULL_DATA")</f>
        <v/>
      </c>
      <c r="UI5">
        <f>BDS("3195391Z US Equity","SUPPLY_CHAIN_CUSTOMERS_FULL_DATA")</f>
        <v/>
      </c>
      <c r="UY5">
        <f>BDS("ABCWQ US Equity","SUPPLY_CHAIN_SUPPLIERS_FULL_DATA")</f>
        <v/>
      </c>
      <c r="VM5">
        <f>BDS("ABCWQ US Equity","SUPPLY_CHAIN_CUSTOMERS_FULL_DATA")</f>
        <v/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4161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4162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4163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4164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4165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4166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4167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4168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4169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4170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4171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4172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4173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4174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4175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4176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4177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4178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4179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4180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EBF US Equity</t>
        </is>
      </c>
      <c r="AE2" s="3" t="inlineStr">
        <is>
          <t>RTHM LN Equity</t>
        </is>
      </c>
      <c r="BI2" s="3" t="inlineStr">
        <is>
          <t>FFIC US Equity</t>
        </is>
      </c>
      <c r="CM2" s="3" t="inlineStr">
        <is>
          <t>229195Q US Equity</t>
        </is>
      </c>
      <c r="DQ2" s="3" t="inlineStr">
        <is>
          <t>PARA US Equity</t>
        </is>
      </c>
      <c r="EU2" s="3" t="inlineStr">
        <is>
          <t>STL US Equity</t>
        </is>
      </c>
      <c r="FY2" s="3" t="inlineStr">
        <is>
          <t>CZWI US Equity</t>
        </is>
      </c>
      <c r="HC2" s="3" t="inlineStr">
        <is>
          <t>OK US Equity</t>
        </is>
      </c>
      <c r="IG2" s="3" t="inlineStr">
        <is>
          <t>GBBK US Equity</t>
        </is>
      </c>
      <c r="JK2" s="3" t="inlineStr">
        <is>
          <t>2452714D US Equity</t>
        </is>
      </c>
      <c r="KO2" s="3" t="inlineStr">
        <is>
          <t>1740293D US Equity</t>
        </is>
      </c>
      <c r="LS2" s="3" t="inlineStr">
        <is>
          <t>IBKC US Equity</t>
        </is>
      </c>
      <c r="MW2" s="3" t="inlineStr">
        <is>
          <t>URGP US Equity</t>
        </is>
      </c>
      <c r="OA2" s="3" t="inlineStr">
        <is>
          <t>DDD US Equity</t>
        </is>
      </c>
      <c r="PE2" s="3" t="inlineStr">
        <is>
          <t>2740937Q US Equity</t>
        </is>
      </c>
      <c r="QI2" s="3" t="inlineStr">
        <is>
          <t>SLCT US Equity</t>
        </is>
      </c>
      <c r="RM2" s="3" t="inlineStr">
        <is>
          <t>375689Q US Equity</t>
        </is>
      </c>
      <c r="SQ2" s="3" t="inlineStr">
        <is>
          <t>TWRV US Equity</t>
        </is>
      </c>
      <c r="TU2" s="3" t="inlineStr">
        <is>
          <t>SFFS US Equity</t>
        </is>
      </c>
      <c r="UY2" s="3" t="inlineStr">
        <is>
          <t>SEVN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BDS("EBF US Equity","SUPPLY_CHAIN_SUPPLIERS_FULL_DATA")</f>
        <v/>
      </c>
      <c r="O5">
        <f>BDS("EBF US Equity","SUPPLY_CHAIN_CUSTOMERS_FULL_DATA")</f>
        <v/>
      </c>
      <c r="AE5">
        <f>BDS("RTHM LN Equity","SUPPLY_CHAIN_SUPPLIERS_FULL_DATA")</f>
        <v/>
      </c>
      <c r="AS5">
        <f>BDS("RTHM LN Equity","SUPPLY_CHAIN_CUSTOMERS_FULL_DATA")</f>
        <v/>
      </c>
      <c r="BI5">
        <f>BDS("FFIC US Equity","SUPPLY_CHAIN_SUPPLIERS_FULL_DATA")</f>
        <v/>
      </c>
      <c r="BW5">
        <f>BDS("FFIC US Equity","SUPPLY_CHAIN_CUSTOMERS_FULL_DATA")</f>
        <v/>
      </c>
      <c r="CM5">
        <f>BDS("229195Q US Equity","SUPPLY_CHAIN_SUPPLIERS_FULL_DATA")</f>
        <v/>
      </c>
      <c r="DA5">
        <f>BDS("229195Q US Equity","SUPPLY_CHAIN_CUSTOMERS_FULL_DATA")</f>
        <v/>
      </c>
      <c r="DQ5">
        <f>BDS("PARA US Equity","SUPPLY_CHAIN_SUPPLIERS_FULL_DATA")</f>
        <v/>
      </c>
      <c r="EE5">
        <f>BDS("PARA US Equity","SUPPLY_CHAIN_CUSTOMERS_FULL_DATA")</f>
        <v/>
      </c>
      <c r="EU5">
        <f>BDS("STL US Equity","SUPPLY_CHAIN_SUPPLIERS_FULL_DATA")</f>
        <v/>
      </c>
      <c r="FI5">
        <f>BDS("STL US Equity","SUPPLY_CHAIN_CUSTOMERS_FULL_DATA")</f>
        <v/>
      </c>
      <c r="FY5">
        <f>BDS("CZWI US Equity","SUPPLY_CHAIN_SUPPLIERS_FULL_DATA")</f>
        <v/>
      </c>
      <c r="GM5">
        <f>BDS("CZWI US Equity","SUPPLY_CHAIN_CUSTOMERS_FULL_DATA")</f>
        <v/>
      </c>
      <c r="HC5">
        <f>BDS("OK US Equity","SUPPLY_CHAIN_SUPPLIERS_FULL_DATA")</f>
        <v/>
      </c>
      <c r="HQ5">
        <f>BDS("OK US Equity","SUPPLY_CHAIN_CUSTOMERS_FULL_DATA")</f>
        <v/>
      </c>
      <c r="IG5">
        <f>BDS("GBBK US Equity","SUPPLY_CHAIN_SUPPLIERS_FULL_DATA")</f>
        <v/>
      </c>
      <c r="IU5">
        <f>BDS("GBBK US Equity","SUPPLY_CHAIN_CUSTOMERS_FULL_DATA")</f>
        <v/>
      </c>
      <c r="JK5">
        <f>BDS("2452714D US Equity","SUPPLY_CHAIN_SUPPLIERS_FULL_DATA")</f>
        <v/>
      </c>
      <c r="JY5">
        <f>BDS("2452714D US Equity","SUPPLY_CHAIN_CUSTOMERS_FULL_DATA")</f>
        <v/>
      </c>
      <c r="KO5">
        <f>BDS("1740293D US Equity","SUPPLY_CHAIN_SUPPLIERS_FULL_DATA")</f>
        <v/>
      </c>
      <c r="LC5">
        <f>BDS("1740293D US Equity","SUPPLY_CHAIN_CUSTOMERS_FULL_DATA")</f>
        <v/>
      </c>
      <c r="LS5">
        <f>BDS("IBKC US Equity","SUPPLY_CHAIN_SUPPLIERS_FULL_DATA")</f>
        <v/>
      </c>
      <c r="MG5">
        <f>BDS("IBKC US Equity","SUPPLY_CHAIN_CUSTOMERS_FULL_DATA")</f>
        <v/>
      </c>
      <c r="MW5">
        <f>BDS("URGP US Equity","SUPPLY_CHAIN_SUPPLIERS_FULL_DATA")</f>
        <v/>
      </c>
      <c r="NK5">
        <f>BDS("URGP US Equity","SUPPLY_CHAIN_CUSTOMERS_FULL_DATA")</f>
        <v/>
      </c>
      <c r="OA5">
        <f>BDS("DDD US Equity","SUPPLY_CHAIN_SUPPLIERS_FULL_DATA")</f>
        <v/>
      </c>
      <c r="OO5">
        <f>BDS("DDD US Equity","SUPPLY_CHAIN_CUSTOMERS_FULL_DATA")</f>
        <v/>
      </c>
      <c r="PE5">
        <f>BDS("2740937Q US Equity","SUPPLY_CHAIN_SUPPLIERS_FULL_DATA")</f>
        <v/>
      </c>
      <c r="PS5">
        <f>BDS("2740937Q US Equity","SUPPLY_CHAIN_CUSTOMERS_FULL_DATA")</f>
        <v/>
      </c>
      <c r="QI5">
        <f>BDS("SLCT US Equity","SUPPLY_CHAIN_SUPPLIERS_FULL_DATA")</f>
        <v/>
      </c>
      <c r="QW5">
        <f>BDS("SLCT US Equity","SUPPLY_CHAIN_CUSTOMERS_FULL_DATA")</f>
        <v/>
      </c>
      <c r="RM5">
        <f>BDS("375689Q US Equity","SUPPLY_CHAIN_SUPPLIERS_FULL_DATA")</f>
        <v/>
      </c>
      <c r="SA5">
        <f>BDS("375689Q US Equity","SUPPLY_CHAIN_CUSTOMERS_FULL_DATA")</f>
        <v/>
      </c>
      <c r="SQ5">
        <f>BDS("TWRV US Equity","SUPPLY_CHAIN_SUPPLIERS_FULL_DATA")</f>
        <v/>
      </c>
      <c r="TE5">
        <f>BDS("TWRV US Equity","SUPPLY_CHAIN_CUSTOMERS_FULL_DATA")</f>
        <v/>
      </c>
      <c r="TU5">
        <f>BDS("SFFS US Equity","SUPPLY_CHAIN_SUPPLIERS_FULL_DATA")</f>
        <v/>
      </c>
      <c r="UI5">
        <f>BDS("SFFS US Equity","SUPPLY_CHAIN_CUSTOMERS_FULL_DATA")</f>
        <v/>
      </c>
      <c r="UY5">
        <f>BDS("SEVN US Equity","SUPPLY_CHAIN_SUPPLIERS_FULL_DATA")</f>
        <v/>
      </c>
      <c r="VM5">
        <f>BDS("SEVN US Equity","SUPPLY_CHAIN_CUSTOMERS_FULL_DATA")</f>
        <v/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4181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4182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4183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4184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4185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4186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4187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4188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4189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4190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4191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4192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4193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4194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4195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4196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4197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4198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4199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4200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BCAL US Equity</t>
        </is>
      </c>
      <c r="AE2" s="3" t="inlineStr">
        <is>
          <t>YDKN US Equity</t>
        </is>
      </c>
      <c r="BI2" s="3" t="inlineStr">
        <is>
          <t>SFNC US Equity</t>
        </is>
      </c>
      <c r="CM2" s="3" t="inlineStr">
        <is>
          <t>3489Q US Equity</t>
        </is>
      </c>
      <c r="DQ2" s="3" t="inlineStr">
        <is>
          <t>JAKK US Equity</t>
        </is>
      </c>
      <c r="EU2" s="3" t="inlineStr">
        <is>
          <t>FFWM US Equity</t>
        </is>
      </c>
      <c r="FY2" s="3" t="inlineStr">
        <is>
          <t>FINB US Equity</t>
        </is>
      </c>
      <c r="HC2" s="3" t="inlineStr">
        <is>
          <t>FBMI US Equity</t>
        </is>
      </c>
      <c r="IG2" s="3" t="inlineStr">
        <is>
          <t>41018Q US Equity</t>
        </is>
      </c>
      <c r="JK2" s="3" t="inlineStr">
        <is>
          <t>ARBA US Equity</t>
        </is>
      </c>
      <c r="KO2" s="3" t="inlineStr">
        <is>
          <t>GS US Equity</t>
        </is>
      </c>
      <c r="LS2" s="3" t="inlineStr">
        <is>
          <t>JNJ US Equity</t>
        </is>
      </c>
      <c r="MW2" s="3" t="inlineStr">
        <is>
          <t>TMD US Equity</t>
        </is>
      </c>
      <c r="OA2" s="3" t="inlineStr">
        <is>
          <t>CCBI US Equity</t>
        </is>
      </c>
      <c r="PE2" s="3" t="inlineStr">
        <is>
          <t>NUE US Equity</t>
        </is>
      </c>
      <c r="QI2" s="3" t="inlineStr">
        <is>
          <t>CUNB US Equity</t>
        </is>
      </c>
      <c r="RM2" s="3" t="inlineStr">
        <is>
          <t>2674129Q US Equity</t>
        </is>
      </c>
      <c r="SQ2" s="3" t="inlineStr">
        <is>
          <t>KODK US Equity</t>
        </is>
      </c>
      <c r="TU2" s="3" t="inlineStr">
        <is>
          <t>HBEK US Equity</t>
        </is>
      </c>
      <c r="UY2" s="3" t="inlineStr">
        <is>
          <t>PFC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BDS("BCAL US Equity","SUPPLY_CHAIN_SUPPLIERS_FULL_DATA")</f>
        <v/>
      </c>
      <c r="O5">
        <f>BDS("BCAL US Equity","SUPPLY_CHAIN_CUSTOMERS_FULL_DATA")</f>
        <v/>
      </c>
      <c r="AE5">
        <f>BDS("YDKN US Equity","SUPPLY_CHAIN_SUPPLIERS_FULL_DATA")</f>
        <v/>
      </c>
      <c r="AS5">
        <f>BDS("YDKN US Equity","SUPPLY_CHAIN_CUSTOMERS_FULL_DATA")</f>
        <v/>
      </c>
      <c r="BI5">
        <f>BDS("SFNC US Equity","SUPPLY_CHAIN_SUPPLIERS_FULL_DATA")</f>
        <v/>
      </c>
      <c r="BW5">
        <f>BDS("SFNC US Equity","SUPPLY_CHAIN_CUSTOMERS_FULL_DATA")</f>
        <v/>
      </c>
      <c r="CM5">
        <f>BDS("3489Q US Equity","SUPPLY_CHAIN_SUPPLIERS_FULL_DATA")</f>
        <v/>
      </c>
      <c r="DA5">
        <f>BDS("3489Q US Equity","SUPPLY_CHAIN_CUSTOMERS_FULL_DATA")</f>
        <v/>
      </c>
      <c r="DQ5">
        <f>BDS("JAKK US Equity","SUPPLY_CHAIN_SUPPLIERS_FULL_DATA")</f>
        <v/>
      </c>
      <c r="EE5">
        <f>BDS("JAKK US Equity","SUPPLY_CHAIN_CUSTOMERS_FULL_DATA")</f>
        <v/>
      </c>
      <c r="EU5">
        <f>BDS("FFWM US Equity","SUPPLY_CHAIN_SUPPLIERS_FULL_DATA")</f>
        <v/>
      </c>
      <c r="FI5">
        <f>BDS("FFWM US Equity","SUPPLY_CHAIN_CUSTOMERS_FULL_DATA")</f>
        <v/>
      </c>
      <c r="FY5">
        <f>BDS("FINB US Equity","SUPPLY_CHAIN_SUPPLIERS_FULL_DATA")</f>
        <v/>
      </c>
      <c r="GM5">
        <f>BDS("FINB US Equity","SUPPLY_CHAIN_CUSTOMERS_FULL_DATA")</f>
        <v/>
      </c>
      <c r="HC5">
        <f>BDS("FBMI US Equity","SUPPLY_CHAIN_SUPPLIERS_FULL_DATA")</f>
        <v/>
      </c>
      <c r="HQ5">
        <f>BDS("FBMI US Equity","SUPPLY_CHAIN_CUSTOMERS_FULL_DATA")</f>
        <v/>
      </c>
      <c r="IG5">
        <f>BDS("41018Q US Equity","SUPPLY_CHAIN_SUPPLIERS_FULL_DATA")</f>
        <v/>
      </c>
      <c r="IU5">
        <f>BDS("41018Q US Equity","SUPPLY_CHAIN_CUSTOMERS_FULL_DATA")</f>
        <v/>
      </c>
      <c r="JK5">
        <f>BDS("ARBA US Equity","SUPPLY_CHAIN_SUPPLIERS_FULL_DATA")</f>
        <v/>
      </c>
      <c r="JY5">
        <f>BDS("ARBA US Equity","SUPPLY_CHAIN_CUSTOMERS_FULL_DATA")</f>
        <v/>
      </c>
      <c r="KO5">
        <f>BDS("GS US Equity","SUPPLY_CHAIN_SUPPLIERS_FULL_DATA")</f>
        <v/>
      </c>
      <c r="LC5">
        <f>BDS("GS US Equity","SUPPLY_CHAIN_CUSTOMERS_FULL_DATA")</f>
        <v/>
      </c>
      <c r="LS5">
        <f>BDS("JNJ US Equity","SUPPLY_CHAIN_SUPPLIERS_FULL_DATA")</f>
        <v/>
      </c>
      <c r="MG5">
        <f>BDS("JNJ US Equity","SUPPLY_CHAIN_CUSTOMERS_FULL_DATA")</f>
        <v/>
      </c>
      <c r="MW5">
        <f>BDS("TMD US Equity","SUPPLY_CHAIN_SUPPLIERS_FULL_DATA")</f>
        <v/>
      </c>
      <c r="NK5">
        <f>BDS("TMD US Equity","SUPPLY_CHAIN_CUSTOMERS_FULL_DATA")</f>
        <v/>
      </c>
      <c r="OA5">
        <f>BDS("CCBI US Equity","SUPPLY_CHAIN_SUPPLIERS_FULL_DATA")</f>
        <v/>
      </c>
      <c r="OO5">
        <f>BDS("CCBI US Equity","SUPPLY_CHAIN_CUSTOMERS_FULL_DATA")</f>
        <v/>
      </c>
      <c r="PE5">
        <f>BDS("NUE US Equity","SUPPLY_CHAIN_SUPPLIERS_FULL_DATA")</f>
        <v/>
      </c>
      <c r="PS5">
        <f>BDS("NUE US Equity","SUPPLY_CHAIN_CUSTOMERS_FULL_DATA")</f>
        <v/>
      </c>
      <c r="QI5">
        <f>BDS("CUNB US Equity","SUPPLY_CHAIN_SUPPLIERS_FULL_DATA")</f>
        <v/>
      </c>
      <c r="QW5">
        <f>BDS("CUNB US Equity","SUPPLY_CHAIN_CUSTOMERS_FULL_DATA")</f>
        <v/>
      </c>
      <c r="RM5">
        <f>BDS("2674129Q US Equity","SUPPLY_CHAIN_SUPPLIERS_FULL_DATA")</f>
        <v/>
      </c>
      <c r="SA5">
        <f>BDS("2674129Q US Equity","SUPPLY_CHAIN_CUSTOMERS_FULL_DATA")</f>
        <v/>
      </c>
      <c r="SQ5">
        <f>BDS("KODK US Equity","SUPPLY_CHAIN_SUPPLIERS_FULL_DATA")</f>
        <v/>
      </c>
      <c r="TE5">
        <f>BDS("KODK US Equity","SUPPLY_CHAIN_CUSTOMERS_FULL_DATA")</f>
        <v/>
      </c>
      <c r="TU5">
        <f>BDS("HBEK US Equity","SUPPLY_CHAIN_SUPPLIERS_FULL_DATA")</f>
        <v/>
      </c>
      <c r="UI5">
        <f>BDS("HBEK US Equity","SUPPLY_CHAIN_CUSTOMERS_FULL_DATA")</f>
        <v/>
      </c>
      <c r="UY5">
        <f>BDS("PFC US Equity","SUPPLY_CHAIN_SUPPLIERS_FULL_DATA")</f>
        <v/>
      </c>
      <c r="VM5">
        <f>BDS("PFC US Equity","SUPPLY_CHAIN_CUSTOMERS_FULL_DATA")</f>
        <v/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4201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4202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4203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4204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4205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4206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4207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4208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4209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4210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4211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4212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4213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4214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4215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4216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4217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4218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4219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4220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AEGN US Equity</t>
        </is>
      </c>
      <c r="AE2" s="3" t="inlineStr">
        <is>
          <t>PBIP US Equity</t>
        </is>
      </c>
      <c r="BI2" s="3" t="inlineStr">
        <is>
          <t>AYTU US Equity</t>
        </is>
      </c>
      <c r="CM2" s="3" t="inlineStr">
        <is>
          <t>DCLK US Equity</t>
        </is>
      </c>
      <c r="DQ2" s="3" t="inlineStr">
        <is>
          <t>PMRY US Equity</t>
        </is>
      </c>
      <c r="EU2" s="3" t="inlineStr">
        <is>
          <t>DRTE US Equity</t>
        </is>
      </c>
      <c r="FY2" s="3" t="inlineStr">
        <is>
          <t>PEBO US Equity</t>
        </is>
      </c>
      <c r="HC2" s="3" t="inlineStr">
        <is>
          <t>FCNB US Equity</t>
        </is>
      </c>
      <c r="IG2" s="3" t="inlineStr">
        <is>
          <t>KROL US Equity</t>
        </is>
      </c>
      <c r="JK2" s="3" t="inlineStr">
        <is>
          <t>BANC US Equity</t>
        </is>
      </c>
      <c r="KO2" s="3" t="inlineStr">
        <is>
          <t>FNB US Equity</t>
        </is>
      </c>
      <c r="LS2" s="3" t="inlineStr">
        <is>
          <t>BKS US Equity</t>
        </is>
      </c>
      <c r="MW2" s="3" t="inlineStr">
        <is>
          <t>2714244Q US Equity</t>
        </is>
      </c>
      <c r="OA2" s="3" t="inlineStr">
        <is>
          <t>NCOG US Equity</t>
        </is>
      </c>
      <c r="PE2" s="3" t="inlineStr">
        <is>
          <t>RBNC US Equity</t>
        </is>
      </c>
      <c r="QI2" s="3" t="inlineStr">
        <is>
          <t>INDB US Equity</t>
        </is>
      </c>
      <c r="RM2" s="3" t="inlineStr">
        <is>
          <t>AMNB US Equity</t>
        </is>
      </c>
      <c r="SQ2" s="3" t="inlineStr">
        <is>
          <t>1683351D US Equity</t>
        </is>
      </c>
      <c r="TU2" s="3" t="inlineStr">
        <is>
          <t>IEP US Equity</t>
        </is>
      </c>
      <c r="UY2" s="3" t="inlineStr">
        <is>
          <t>IRF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BDS("AEGN US Equity","SUPPLY_CHAIN_SUPPLIERS_FULL_DATA")</f>
        <v/>
      </c>
      <c r="O5">
        <f>BDS("AEGN US Equity","SUPPLY_CHAIN_CUSTOMERS_FULL_DATA")</f>
        <v/>
      </c>
      <c r="AE5">
        <f>BDS("PBIP US Equity","SUPPLY_CHAIN_SUPPLIERS_FULL_DATA")</f>
        <v/>
      </c>
      <c r="AS5">
        <f>BDS("PBIP US Equity","SUPPLY_CHAIN_CUSTOMERS_FULL_DATA")</f>
        <v/>
      </c>
      <c r="BI5">
        <f>BDS("AYTU US Equity","SUPPLY_CHAIN_SUPPLIERS_FULL_DATA")</f>
        <v/>
      </c>
      <c r="BW5">
        <f>BDS("AYTU US Equity","SUPPLY_CHAIN_CUSTOMERS_FULL_DATA")</f>
        <v/>
      </c>
      <c r="CM5">
        <f>BDS("DCLK US Equity","SUPPLY_CHAIN_SUPPLIERS_FULL_DATA")</f>
        <v/>
      </c>
      <c r="DA5">
        <f>BDS("DCLK US Equity","SUPPLY_CHAIN_CUSTOMERS_FULL_DATA")</f>
        <v/>
      </c>
      <c r="DQ5">
        <f>BDS("PMRY US Equity","SUPPLY_CHAIN_SUPPLIERS_FULL_DATA")</f>
        <v/>
      </c>
      <c r="EE5">
        <f>BDS("PMRY US Equity","SUPPLY_CHAIN_CUSTOMERS_FULL_DATA")</f>
        <v/>
      </c>
      <c r="EU5">
        <f>BDS("DRTE US Equity","SUPPLY_CHAIN_SUPPLIERS_FULL_DATA")</f>
        <v/>
      </c>
      <c r="FI5">
        <f>BDS("DRTE US Equity","SUPPLY_CHAIN_CUSTOMERS_FULL_DATA")</f>
        <v/>
      </c>
      <c r="FY5">
        <f>BDS("PEBO US Equity","SUPPLY_CHAIN_SUPPLIERS_FULL_DATA")</f>
        <v/>
      </c>
      <c r="GM5">
        <f>BDS("PEBO US Equity","SUPPLY_CHAIN_CUSTOMERS_FULL_DATA")</f>
        <v/>
      </c>
      <c r="HC5">
        <f>BDS("FCNB US Equity","SUPPLY_CHAIN_SUPPLIERS_FULL_DATA")</f>
        <v/>
      </c>
      <c r="HQ5">
        <f>BDS("FCNB US Equity","SUPPLY_CHAIN_CUSTOMERS_FULL_DATA")</f>
        <v/>
      </c>
      <c r="IG5">
        <f>BDS("KROL US Equity","SUPPLY_CHAIN_SUPPLIERS_FULL_DATA")</f>
        <v/>
      </c>
      <c r="IU5">
        <f>BDS("KROL US Equity","SUPPLY_CHAIN_CUSTOMERS_FULL_DATA")</f>
        <v/>
      </c>
      <c r="JK5">
        <f>BDS("BANC US Equity","SUPPLY_CHAIN_SUPPLIERS_FULL_DATA")</f>
        <v/>
      </c>
      <c r="JY5">
        <f>BDS("BANC US Equity","SUPPLY_CHAIN_CUSTOMERS_FULL_DATA")</f>
        <v/>
      </c>
      <c r="KO5">
        <f>BDS("FNB US Equity","SUPPLY_CHAIN_SUPPLIERS_FULL_DATA")</f>
        <v/>
      </c>
      <c r="LC5">
        <f>BDS("FNB US Equity","SUPPLY_CHAIN_CUSTOMERS_FULL_DATA")</f>
        <v/>
      </c>
      <c r="LS5">
        <f>BDS("BKS US Equity","SUPPLY_CHAIN_SUPPLIERS_FULL_DATA")</f>
        <v/>
      </c>
      <c r="MG5">
        <f>BDS("BKS US Equity","SUPPLY_CHAIN_CUSTOMERS_FULL_DATA")</f>
        <v/>
      </c>
      <c r="MW5">
        <f>BDS("2714244Q US Equity","SUPPLY_CHAIN_SUPPLIERS_FULL_DATA")</f>
        <v/>
      </c>
      <c r="NK5">
        <f>BDS("2714244Q US Equity","SUPPLY_CHAIN_CUSTOMERS_FULL_DATA")</f>
        <v/>
      </c>
      <c r="OA5">
        <f>BDS("NCOG US Equity","SUPPLY_CHAIN_SUPPLIERS_FULL_DATA")</f>
        <v/>
      </c>
      <c r="OO5">
        <f>BDS("NCOG US Equity","SUPPLY_CHAIN_CUSTOMERS_FULL_DATA")</f>
        <v/>
      </c>
      <c r="PE5">
        <f>BDS("RBNC US Equity","SUPPLY_CHAIN_SUPPLIERS_FULL_DATA")</f>
        <v/>
      </c>
      <c r="PS5">
        <f>BDS("RBNC US Equity","SUPPLY_CHAIN_CUSTOMERS_FULL_DATA")</f>
        <v/>
      </c>
      <c r="QI5">
        <f>BDS("INDB US Equity","SUPPLY_CHAIN_SUPPLIERS_FULL_DATA")</f>
        <v/>
      </c>
      <c r="QW5">
        <f>BDS("INDB US Equity","SUPPLY_CHAIN_CUSTOMERS_FULL_DATA")</f>
        <v/>
      </c>
      <c r="RM5">
        <f>BDS("AMNB US Equity","SUPPLY_CHAIN_SUPPLIERS_FULL_DATA")</f>
        <v/>
      </c>
      <c r="SA5">
        <f>BDS("AMNB US Equity","SUPPLY_CHAIN_CUSTOMERS_FULL_DATA")</f>
        <v/>
      </c>
      <c r="SQ5">
        <f>BDS("1683351D US Equity","SUPPLY_CHAIN_SUPPLIERS_FULL_DATA")</f>
        <v/>
      </c>
      <c r="TE5">
        <f>BDS("1683351D US Equity","SUPPLY_CHAIN_CUSTOMERS_FULL_DATA")</f>
        <v/>
      </c>
      <c r="TU5">
        <f>BDS("IEP US Equity","SUPPLY_CHAIN_SUPPLIERS_FULL_DATA")</f>
        <v/>
      </c>
      <c r="UI5">
        <f>BDS("IEP US Equity","SUPPLY_CHAIN_CUSTOMERS_FULL_DATA")</f>
        <v/>
      </c>
      <c r="UY5">
        <f>BDS("IRF US Equity","SUPPLY_CHAIN_SUPPLIERS_FULL_DATA")</f>
        <v/>
      </c>
      <c r="VM5">
        <f>BDS("IRF US Equity","SUPPLY_CHAIN_CUSTOMERS_FULL_DATA")</f>
        <v/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4221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4222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4223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4224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4225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4226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4227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4228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4229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4230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4231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4232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4233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4234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4235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4236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4237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4238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4239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4240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SRCL US Equity</t>
        </is>
      </c>
      <c r="AE2" s="3" t="inlineStr">
        <is>
          <t>GSIC US Equity</t>
        </is>
      </c>
      <c r="BI2" s="3" t="inlineStr">
        <is>
          <t>NEB US Equity</t>
        </is>
      </c>
      <c r="CM2" s="3" t="inlineStr">
        <is>
          <t>TTN US Equity</t>
        </is>
      </c>
      <c r="DQ2" s="3" t="inlineStr">
        <is>
          <t>PCBK US Equity</t>
        </is>
      </c>
      <c r="EU2" s="3" t="inlineStr">
        <is>
          <t>PACW US Equity</t>
        </is>
      </c>
      <c r="FY2" s="3" t="inlineStr">
        <is>
          <t>MCOAQ US Equity</t>
        </is>
      </c>
      <c r="HC2" s="3" t="inlineStr">
        <is>
          <t>DRS US Equity</t>
        </is>
      </c>
      <c r="IG2" s="3" t="inlineStr">
        <is>
          <t>RRD US Equity</t>
        </is>
      </c>
      <c r="JK2" s="3" t="inlineStr">
        <is>
          <t>CSBC US Equity</t>
        </is>
      </c>
      <c r="KO2" s="3" t="inlineStr">
        <is>
          <t>UCBHQ US Equity</t>
        </is>
      </c>
      <c r="LS2" s="3" t="inlineStr">
        <is>
          <t>FLXS US Equity</t>
        </is>
      </c>
      <c r="MW2" s="3" t="inlineStr">
        <is>
          <t>WTTR US Equity</t>
        </is>
      </c>
      <c r="OA2" s="3" t="inlineStr">
        <is>
          <t>PVSA US Equity</t>
        </is>
      </c>
      <c r="PE2" s="3" t="inlineStr">
        <is>
          <t>896649Q US Equity</t>
        </is>
      </c>
      <c r="QI2" s="3" t="inlineStr">
        <is>
          <t>LLY US Equity</t>
        </is>
      </c>
      <c r="RM2" s="3" t="inlineStr">
        <is>
          <t>EPAY US Equity</t>
        </is>
      </c>
      <c r="SQ2" s="3" t="inlineStr">
        <is>
          <t>MSFG US Equity</t>
        </is>
      </c>
      <c r="TU2" s="3" t="inlineStr">
        <is>
          <t>INDB US Equity</t>
        </is>
      </c>
      <c r="UY2" s="3" t="inlineStr">
        <is>
          <t>TCFC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BDS("SRCL US Equity","SUPPLY_CHAIN_SUPPLIERS_FULL_DATA")</f>
        <v/>
      </c>
      <c r="O5">
        <f>BDS("SRCL US Equity","SUPPLY_CHAIN_CUSTOMERS_FULL_DATA")</f>
        <v/>
      </c>
      <c r="AE5">
        <f>BDS("GSIC US Equity","SUPPLY_CHAIN_SUPPLIERS_FULL_DATA")</f>
        <v/>
      </c>
      <c r="AS5">
        <f>BDS("GSIC US Equity","SUPPLY_CHAIN_CUSTOMERS_FULL_DATA")</f>
        <v/>
      </c>
      <c r="BI5">
        <f>BDS("NEB US Equity","SUPPLY_CHAIN_SUPPLIERS_FULL_DATA")</f>
        <v/>
      </c>
      <c r="BW5">
        <f>BDS("NEB US Equity","SUPPLY_CHAIN_CUSTOMERS_FULL_DATA")</f>
        <v/>
      </c>
      <c r="CM5">
        <f>BDS("TTN US Equity","SUPPLY_CHAIN_SUPPLIERS_FULL_DATA")</f>
        <v/>
      </c>
      <c r="DA5">
        <f>BDS("TTN US Equity","SUPPLY_CHAIN_CUSTOMERS_FULL_DATA")</f>
        <v/>
      </c>
      <c r="DQ5">
        <f>BDS("PCBK US Equity","SUPPLY_CHAIN_SUPPLIERS_FULL_DATA")</f>
        <v/>
      </c>
      <c r="EE5">
        <f>BDS("PCBK US Equity","SUPPLY_CHAIN_CUSTOMERS_FULL_DATA")</f>
        <v/>
      </c>
      <c r="EU5">
        <f>BDS("PACW US Equity","SUPPLY_CHAIN_SUPPLIERS_FULL_DATA")</f>
        <v/>
      </c>
      <c r="FI5">
        <f>BDS("PACW US Equity","SUPPLY_CHAIN_CUSTOMERS_FULL_DATA")</f>
        <v/>
      </c>
      <c r="FY5">
        <f>BDS("MCOAQ US Equity","SUPPLY_CHAIN_SUPPLIERS_FULL_DATA")</f>
        <v/>
      </c>
      <c r="GM5">
        <f>BDS("MCOAQ US Equity","SUPPLY_CHAIN_CUSTOMERS_FULL_DATA")</f>
        <v/>
      </c>
      <c r="HC5">
        <f>BDS("DRS US Equity","SUPPLY_CHAIN_SUPPLIERS_FULL_DATA")</f>
        <v/>
      </c>
      <c r="HQ5">
        <f>BDS("DRS US Equity","SUPPLY_CHAIN_CUSTOMERS_FULL_DATA")</f>
        <v/>
      </c>
      <c r="IG5">
        <f>BDS("RRD US Equity","SUPPLY_CHAIN_SUPPLIERS_FULL_DATA")</f>
        <v/>
      </c>
      <c r="IU5">
        <f>BDS("RRD US Equity","SUPPLY_CHAIN_CUSTOMERS_FULL_DATA")</f>
        <v/>
      </c>
      <c r="JK5">
        <f>BDS("CSBC US Equity","SUPPLY_CHAIN_SUPPLIERS_FULL_DATA")</f>
        <v/>
      </c>
      <c r="JY5">
        <f>BDS("CSBC US Equity","SUPPLY_CHAIN_CUSTOMERS_FULL_DATA")</f>
        <v/>
      </c>
      <c r="KO5">
        <f>BDS("UCBHQ US Equity","SUPPLY_CHAIN_SUPPLIERS_FULL_DATA")</f>
        <v/>
      </c>
      <c r="LC5">
        <f>BDS("UCBHQ US Equity","SUPPLY_CHAIN_CUSTOMERS_FULL_DATA")</f>
        <v/>
      </c>
      <c r="LS5">
        <f>BDS("FLXS US Equity","SUPPLY_CHAIN_SUPPLIERS_FULL_DATA")</f>
        <v/>
      </c>
      <c r="MG5">
        <f>BDS("FLXS US Equity","SUPPLY_CHAIN_CUSTOMERS_FULL_DATA")</f>
        <v/>
      </c>
      <c r="MW5">
        <f>BDS("WTTR US Equity","SUPPLY_CHAIN_SUPPLIERS_FULL_DATA")</f>
        <v/>
      </c>
      <c r="NK5">
        <f>BDS("WTTR US Equity","SUPPLY_CHAIN_CUSTOMERS_FULL_DATA")</f>
        <v/>
      </c>
      <c r="OA5">
        <f>BDS("PVSA US Equity","SUPPLY_CHAIN_SUPPLIERS_FULL_DATA")</f>
        <v/>
      </c>
      <c r="OO5">
        <f>BDS("PVSA US Equity","SUPPLY_CHAIN_CUSTOMERS_FULL_DATA")</f>
        <v/>
      </c>
      <c r="PE5">
        <f>BDS("896649Q US Equity","SUPPLY_CHAIN_SUPPLIERS_FULL_DATA")</f>
        <v/>
      </c>
      <c r="PS5">
        <f>BDS("896649Q US Equity","SUPPLY_CHAIN_CUSTOMERS_FULL_DATA")</f>
        <v/>
      </c>
      <c r="QI5">
        <f>BDS("LLY US Equity","SUPPLY_CHAIN_SUPPLIERS_FULL_DATA")</f>
        <v/>
      </c>
      <c r="QW5">
        <f>BDS("LLY US Equity","SUPPLY_CHAIN_CUSTOMERS_FULL_DATA")</f>
        <v/>
      </c>
      <c r="RM5">
        <f>BDS("EPAY US Equity","SUPPLY_CHAIN_SUPPLIERS_FULL_DATA")</f>
        <v/>
      </c>
      <c r="SA5">
        <f>BDS("EPAY US Equity","SUPPLY_CHAIN_CUSTOMERS_FULL_DATA")</f>
        <v/>
      </c>
      <c r="SQ5">
        <f>BDS("MSFG US Equity","SUPPLY_CHAIN_SUPPLIERS_FULL_DATA")</f>
        <v/>
      </c>
      <c r="TE5">
        <f>BDS("MSFG US Equity","SUPPLY_CHAIN_CUSTOMERS_FULL_DATA")</f>
        <v/>
      </c>
      <c r="TU5">
        <f>BDS("INDB US Equity","SUPPLY_CHAIN_SUPPLIERS_FULL_DATA")</f>
        <v/>
      </c>
      <c r="UI5">
        <f>BDS("INDB US Equity","SUPPLY_CHAIN_CUSTOMERS_FULL_DATA")</f>
        <v/>
      </c>
      <c r="UY5">
        <f>BDS("TCFC US Equity","SUPPLY_CHAIN_SUPPLIERS_FULL_DATA")</f>
        <v/>
      </c>
      <c r="VM5">
        <f>BDS("TCFC US Equity","SUPPLY_CHAIN_CUSTOMERS_FULL_DATA")</f>
        <v/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4241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4242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4243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4244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4245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4246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4247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4248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4249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4250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4251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4252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4253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4254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4255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4256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4257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4258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4259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4260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2464209D US Equity</t>
        </is>
      </c>
      <c r="AE2" s="3" t="inlineStr">
        <is>
          <t>BNCN US Equity</t>
        </is>
      </c>
      <c r="BI2" s="3" t="inlineStr">
        <is>
          <t>AUB US Equity</t>
        </is>
      </c>
      <c r="CM2" s="3" t="inlineStr">
        <is>
          <t>BNCN US Equity</t>
        </is>
      </c>
      <c r="DQ2" s="3" t="inlineStr">
        <is>
          <t>SNA US Equity</t>
        </is>
      </c>
      <c r="EU2" s="3" t="inlineStr">
        <is>
          <t>45445Q US Equity</t>
        </is>
      </c>
      <c r="FY2" s="3" t="inlineStr">
        <is>
          <t>VSB US Equity</t>
        </is>
      </c>
      <c r="HC2" s="3" t="inlineStr">
        <is>
          <t>FCBC US Equity</t>
        </is>
      </c>
      <c r="IG2" s="3" t="inlineStr">
        <is>
          <t>355488Q US Equity</t>
        </is>
      </c>
      <c r="JK2" s="3" t="inlineStr">
        <is>
          <t>BSX US Equity</t>
        </is>
      </c>
      <c r="KO2" s="3" t="inlineStr">
        <is>
          <t>CIVB US Equity</t>
        </is>
      </c>
      <c r="LS2" s="3" t="inlineStr">
        <is>
          <t>PACW US Equity</t>
        </is>
      </c>
      <c r="MW2" s="3" t="inlineStr">
        <is>
          <t>UCFC US Equity</t>
        </is>
      </c>
      <c r="OA2" s="3" t="inlineStr">
        <is>
          <t>FCHDQ US Equity</t>
        </is>
      </c>
      <c r="PE2" s="3" t="inlineStr">
        <is>
          <t>DHR US Equity</t>
        </is>
      </c>
      <c r="QI2" s="3" t="inlineStr">
        <is>
          <t>FMAO US Equity</t>
        </is>
      </c>
      <c r="RM2" s="3" t="inlineStr">
        <is>
          <t>FCBN US Equity</t>
        </is>
      </c>
      <c r="SQ2" s="3" t="inlineStr">
        <is>
          <t>TDG US Equity</t>
        </is>
      </c>
      <c r="TU2" s="3" t="inlineStr">
        <is>
          <t>LBAI US Equity</t>
        </is>
      </c>
      <c r="UY2" s="3" t="inlineStr">
        <is>
          <t>KKD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BDS("2464209D US Equity","SUPPLY_CHAIN_SUPPLIERS_FULL_DATA")</f>
        <v/>
      </c>
      <c r="O5">
        <f>BDS("2464209D US Equity","SUPPLY_CHAIN_CUSTOMERS_FULL_DATA")</f>
        <v/>
      </c>
      <c r="AE5">
        <f>BDS("BNCN US Equity","SUPPLY_CHAIN_SUPPLIERS_FULL_DATA")</f>
        <v/>
      </c>
      <c r="AS5">
        <f>BDS("BNCN US Equity","SUPPLY_CHAIN_CUSTOMERS_FULL_DATA")</f>
        <v/>
      </c>
      <c r="BI5">
        <f>BDS("AUB US Equity","SUPPLY_CHAIN_SUPPLIERS_FULL_DATA")</f>
        <v/>
      </c>
      <c r="BW5">
        <f>BDS("AUB US Equity","SUPPLY_CHAIN_CUSTOMERS_FULL_DATA")</f>
        <v/>
      </c>
      <c r="CM5">
        <f>BDS("BNCN US Equity","SUPPLY_CHAIN_SUPPLIERS_FULL_DATA")</f>
        <v/>
      </c>
      <c r="DA5">
        <f>BDS("BNCN US Equity","SUPPLY_CHAIN_CUSTOMERS_FULL_DATA")</f>
        <v/>
      </c>
      <c r="DQ5">
        <f>BDS("SNA US Equity","SUPPLY_CHAIN_SUPPLIERS_FULL_DATA")</f>
        <v/>
      </c>
      <c r="EE5">
        <f>BDS("SNA US Equity","SUPPLY_CHAIN_CUSTOMERS_FULL_DATA")</f>
        <v/>
      </c>
      <c r="EU5">
        <f>BDS("45445Q US Equity","SUPPLY_CHAIN_SUPPLIERS_FULL_DATA")</f>
        <v/>
      </c>
      <c r="FI5">
        <f>BDS("45445Q US Equity","SUPPLY_CHAIN_CUSTOMERS_FULL_DATA")</f>
        <v/>
      </c>
      <c r="FY5">
        <f>BDS("VSB US Equity","SUPPLY_CHAIN_SUPPLIERS_FULL_DATA")</f>
        <v/>
      </c>
      <c r="GM5">
        <f>BDS("VSB US Equity","SUPPLY_CHAIN_CUSTOMERS_FULL_DATA")</f>
        <v/>
      </c>
      <c r="HC5">
        <f>BDS("FCBC US Equity","SUPPLY_CHAIN_SUPPLIERS_FULL_DATA")</f>
        <v/>
      </c>
      <c r="HQ5">
        <f>BDS("FCBC US Equity","SUPPLY_CHAIN_CUSTOMERS_FULL_DATA")</f>
        <v/>
      </c>
      <c r="IG5">
        <f>BDS("355488Q US Equity","SUPPLY_CHAIN_SUPPLIERS_FULL_DATA")</f>
        <v/>
      </c>
      <c r="IU5">
        <f>BDS("355488Q US Equity","SUPPLY_CHAIN_CUSTOMERS_FULL_DATA")</f>
        <v/>
      </c>
      <c r="JK5">
        <f>BDS("BSX US Equity","SUPPLY_CHAIN_SUPPLIERS_FULL_DATA")</f>
        <v/>
      </c>
      <c r="JY5">
        <f>BDS("BSX US Equity","SUPPLY_CHAIN_CUSTOMERS_FULL_DATA")</f>
        <v/>
      </c>
      <c r="KO5">
        <f>BDS("CIVB US Equity","SUPPLY_CHAIN_SUPPLIERS_FULL_DATA")</f>
        <v/>
      </c>
      <c r="LC5">
        <f>BDS("CIVB US Equity","SUPPLY_CHAIN_CUSTOMERS_FULL_DATA")</f>
        <v/>
      </c>
      <c r="LS5">
        <f>BDS("PACW US Equity","SUPPLY_CHAIN_SUPPLIERS_FULL_DATA")</f>
        <v/>
      </c>
      <c r="MG5">
        <f>BDS("PACW US Equity","SUPPLY_CHAIN_CUSTOMERS_FULL_DATA")</f>
        <v/>
      </c>
      <c r="MW5">
        <f>BDS("UCFC US Equity","SUPPLY_CHAIN_SUPPLIERS_FULL_DATA")</f>
        <v/>
      </c>
      <c r="NK5">
        <f>BDS("UCFC US Equity","SUPPLY_CHAIN_CUSTOMERS_FULL_DATA")</f>
        <v/>
      </c>
      <c r="OA5">
        <f>BDS("FCHDQ US Equity","SUPPLY_CHAIN_SUPPLIERS_FULL_DATA")</f>
        <v/>
      </c>
      <c r="OO5">
        <f>BDS("FCHDQ US Equity","SUPPLY_CHAIN_CUSTOMERS_FULL_DATA")</f>
        <v/>
      </c>
      <c r="PE5">
        <f>BDS("DHR US Equity","SUPPLY_CHAIN_SUPPLIERS_FULL_DATA")</f>
        <v/>
      </c>
      <c r="PS5">
        <f>BDS("DHR US Equity","SUPPLY_CHAIN_CUSTOMERS_FULL_DATA")</f>
        <v/>
      </c>
      <c r="QI5">
        <f>BDS("FMAO US Equity","SUPPLY_CHAIN_SUPPLIERS_FULL_DATA")</f>
        <v/>
      </c>
      <c r="QW5">
        <f>BDS("FMAO US Equity","SUPPLY_CHAIN_CUSTOMERS_FULL_DATA")</f>
        <v/>
      </c>
      <c r="RM5">
        <f>BDS("FCBN US Equity","SUPPLY_CHAIN_SUPPLIERS_FULL_DATA")</f>
        <v/>
      </c>
      <c r="SA5">
        <f>BDS("FCBN US Equity","SUPPLY_CHAIN_CUSTOMERS_FULL_DATA")</f>
        <v/>
      </c>
      <c r="SQ5">
        <f>BDS("TDG US Equity","SUPPLY_CHAIN_SUPPLIERS_FULL_DATA")</f>
        <v/>
      </c>
      <c r="TE5">
        <f>BDS("TDG US Equity","SUPPLY_CHAIN_CUSTOMERS_FULL_DATA")</f>
        <v/>
      </c>
      <c r="TU5">
        <f>BDS("LBAI US Equity","SUPPLY_CHAIN_SUPPLIERS_FULL_DATA")</f>
        <v/>
      </c>
      <c r="UI5">
        <f>BDS("LBAI US Equity","SUPPLY_CHAIN_CUSTOMERS_FULL_DATA")</f>
        <v/>
      </c>
      <c r="UY5">
        <f>BDS("KKD US Equity","SUPPLY_CHAIN_SUPPLIERS_FULL_DATA")</f>
        <v/>
      </c>
      <c r="VM5">
        <f>BDS("KKD US Equity","SUPPLY_CHAIN_CUSTOMERS_FULL_DATA")</f>
        <v/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4261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4262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4263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4264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4265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4266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4267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4268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4269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4270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4271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4272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4273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4274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4275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4276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4277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4278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4279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4280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SPPI US Equity</t>
        </is>
      </c>
      <c r="AE2" s="3" t="inlineStr">
        <is>
          <t>2860436Q US Equity</t>
        </is>
      </c>
      <c r="BI2" s="3" t="inlineStr">
        <is>
          <t>BFOH US Equity</t>
        </is>
      </c>
      <c r="CM2" s="3" t="inlineStr">
        <is>
          <t>FCNCA US Equity</t>
        </is>
      </c>
      <c r="DQ2" s="3" t="inlineStr">
        <is>
          <t>3111Q US Equity</t>
        </is>
      </c>
      <c r="EU2" s="3" t="inlineStr">
        <is>
          <t>GGG US Equity</t>
        </is>
      </c>
      <c r="FY2" s="3" t="inlineStr">
        <is>
          <t>PDFS US Equity</t>
        </is>
      </c>
      <c r="HC2" s="3" t="inlineStr">
        <is>
          <t>PACW US Equity</t>
        </is>
      </c>
      <c r="IG2" s="3" t="inlineStr">
        <is>
          <t>ABCB US Equity</t>
        </is>
      </c>
      <c r="JK2" s="3" t="inlineStr">
        <is>
          <t>1523873D US Equity</t>
        </is>
      </c>
      <c r="KO2" s="3" t="inlineStr">
        <is>
          <t>IHR US Equity</t>
        </is>
      </c>
      <c r="LS2" s="3" t="inlineStr">
        <is>
          <t>UCB US Equity</t>
        </is>
      </c>
      <c r="MW2" s="3" t="inlineStr">
        <is>
          <t>EVBN US Equity</t>
        </is>
      </c>
      <c r="OA2" s="3" t="inlineStr">
        <is>
          <t>RVSB US Equity</t>
        </is>
      </c>
      <c r="PE2" s="3" t="inlineStr">
        <is>
          <t>HBCP US Equity</t>
        </is>
      </c>
      <c r="QI2" s="3" t="inlineStr">
        <is>
          <t>1608358D US Equity</t>
        </is>
      </c>
      <c r="RM2" s="3" t="inlineStr">
        <is>
          <t>FCBC US Equity</t>
        </is>
      </c>
      <c r="SQ2" s="3" t="inlineStr">
        <is>
          <t>MBHIQ US Equity</t>
        </is>
      </c>
      <c r="TU2" s="3" t="inlineStr">
        <is>
          <t>SNBC US Equity</t>
        </is>
      </c>
      <c r="UY2" s="3" t="inlineStr">
        <is>
          <t>IXYS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BDS("SPPI US Equity","SUPPLY_CHAIN_SUPPLIERS_FULL_DATA")</f>
        <v/>
      </c>
      <c r="O5">
        <f>BDS("SPPI US Equity","SUPPLY_CHAIN_CUSTOMERS_FULL_DATA")</f>
        <v/>
      </c>
      <c r="AE5">
        <f>BDS("2860436Q US Equity","SUPPLY_CHAIN_SUPPLIERS_FULL_DATA")</f>
        <v/>
      </c>
      <c r="AS5">
        <f>BDS("2860436Q US Equity","SUPPLY_CHAIN_CUSTOMERS_FULL_DATA")</f>
        <v/>
      </c>
      <c r="BI5">
        <f>BDS("BFOH US Equity","SUPPLY_CHAIN_SUPPLIERS_FULL_DATA")</f>
        <v/>
      </c>
      <c r="BW5">
        <f>BDS("BFOH US Equity","SUPPLY_CHAIN_CUSTOMERS_FULL_DATA")</f>
        <v/>
      </c>
      <c r="CM5">
        <f>BDS("FCNCA US Equity","SUPPLY_CHAIN_SUPPLIERS_FULL_DATA")</f>
        <v/>
      </c>
      <c r="DA5">
        <f>BDS("FCNCA US Equity","SUPPLY_CHAIN_CUSTOMERS_FULL_DATA")</f>
        <v/>
      </c>
      <c r="DQ5">
        <f>BDS("3111Q US Equity","SUPPLY_CHAIN_SUPPLIERS_FULL_DATA")</f>
        <v/>
      </c>
      <c r="EE5">
        <f>BDS("3111Q US Equity","SUPPLY_CHAIN_CUSTOMERS_FULL_DATA")</f>
        <v/>
      </c>
      <c r="EU5">
        <f>BDS("GGG US Equity","SUPPLY_CHAIN_SUPPLIERS_FULL_DATA")</f>
        <v/>
      </c>
      <c r="FI5">
        <f>BDS("GGG US Equity","SUPPLY_CHAIN_CUSTOMERS_FULL_DATA")</f>
        <v/>
      </c>
      <c r="FY5">
        <f>BDS("PDFS US Equity","SUPPLY_CHAIN_SUPPLIERS_FULL_DATA")</f>
        <v/>
      </c>
      <c r="GM5">
        <f>BDS("PDFS US Equity","SUPPLY_CHAIN_CUSTOMERS_FULL_DATA")</f>
        <v/>
      </c>
      <c r="HC5">
        <f>BDS("PACW US Equity","SUPPLY_CHAIN_SUPPLIERS_FULL_DATA")</f>
        <v/>
      </c>
      <c r="HQ5">
        <f>BDS("PACW US Equity","SUPPLY_CHAIN_CUSTOMERS_FULL_DATA")</f>
        <v/>
      </c>
      <c r="IG5">
        <f>BDS("ABCB US Equity","SUPPLY_CHAIN_SUPPLIERS_FULL_DATA")</f>
        <v/>
      </c>
      <c r="IU5">
        <f>BDS("ABCB US Equity","SUPPLY_CHAIN_CUSTOMERS_FULL_DATA")</f>
        <v/>
      </c>
      <c r="JK5">
        <f>BDS("1523873D US Equity","SUPPLY_CHAIN_SUPPLIERS_FULL_DATA")</f>
        <v/>
      </c>
      <c r="JY5">
        <f>BDS("1523873D US Equity","SUPPLY_CHAIN_CUSTOMERS_FULL_DATA")</f>
        <v/>
      </c>
      <c r="KO5">
        <f>BDS("IHR US Equity","SUPPLY_CHAIN_SUPPLIERS_FULL_DATA")</f>
        <v/>
      </c>
      <c r="LC5">
        <f>BDS("IHR US Equity","SUPPLY_CHAIN_CUSTOMERS_FULL_DATA")</f>
        <v/>
      </c>
      <c r="LS5">
        <f>BDS("UCB US Equity","SUPPLY_CHAIN_SUPPLIERS_FULL_DATA")</f>
        <v/>
      </c>
      <c r="MG5">
        <f>BDS("UCB US Equity","SUPPLY_CHAIN_CUSTOMERS_FULL_DATA")</f>
        <v/>
      </c>
      <c r="MW5">
        <f>BDS("EVBN US Equity","SUPPLY_CHAIN_SUPPLIERS_FULL_DATA")</f>
        <v/>
      </c>
      <c r="NK5">
        <f>BDS("EVBN US Equity","SUPPLY_CHAIN_CUSTOMERS_FULL_DATA")</f>
        <v/>
      </c>
      <c r="OA5">
        <f>BDS("RVSB US Equity","SUPPLY_CHAIN_SUPPLIERS_FULL_DATA")</f>
        <v/>
      </c>
      <c r="OO5">
        <f>BDS("RVSB US Equity","SUPPLY_CHAIN_CUSTOMERS_FULL_DATA")</f>
        <v/>
      </c>
      <c r="PE5">
        <f>BDS("HBCP US Equity","SUPPLY_CHAIN_SUPPLIERS_FULL_DATA")</f>
        <v/>
      </c>
      <c r="PS5">
        <f>BDS("HBCP US Equity","SUPPLY_CHAIN_CUSTOMERS_FULL_DATA")</f>
        <v/>
      </c>
      <c r="QI5">
        <f>BDS("1608358D US Equity","SUPPLY_CHAIN_SUPPLIERS_FULL_DATA")</f>
        <v/>
      </c>
      <c r="QW5">
        <f>BDS("1608358D US Equity","SUPPLY_CHAIN_CUSTOMERS_FULL_DATA")</f>
        <v/>
      </c>
      <c r="RM5">
        <f>BDS("FCBC US Equity","SUPPLY_CHAIN_SUPPLIERS_FULL_DATA")</f>
        <v/>
      </c>
      <c r="SA5">
        <f>BDS("FCBC US Equity","SUPPLY_CHAIN_CUSTOMERS_FULL_DATA")</f>
        <v/>
      </c>
      <c r="SQ5">
        <f>BDS("MBHIQ US Equity","SUPPLY_CHAIN_SUPPLIERS_FULL_DATA")</f>
        <v/>
      </c>
      <c r="TE5">
        <f>BDS("MBHIQ US Equity","SUPPLY_CHAIN_CUSTOMERS_FULL_DATA")</f>
        <v/>
      </c>
      <c r="TU5">
        <f>BDS("SNBC US Equity","SUPPLY_CHAIN_SUPPLIERS_FULL_DATA")</f>
        <v/>
      </c>
      <c r="UI5">
        <f>BDS("SNBC US Equity","SUPPLY_CHAIN_CUSTOMERS_FULL_DATA")</f>
        <v/>
      </c>
      <c r="UY5">
        <f>BDS("IXYS US Equity","SUPPLY_CHAIN_SUPPLIERS_FULL_DATA")</f>
        <v/>
      </c>
      <c r="VM5">
        <f>BDS("IXYS US Equity","SUPPLY_CHAIN_CUSTOMERS_FULL_DATA")</f>
        <v/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4281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4282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4283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4284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4285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4286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4287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4288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4289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4290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4291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4292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4293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4294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4295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4296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4297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4298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4299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4300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2347450D US Equity</t>
        </is>
      </c>
      <c r="AE2" s="3" t="inlineStr">
        <is>
          <t>355488Q US Equity</t>
        </is>
      </c>
      <c r="BI2" s="3" t="inlineStr">
        <is>
          <t>CYT US Equity</t>
        </is>
      </c>
      <c r="CM2" s="3" t="inlineStr">
        <is>
          <t>FNWD US Equity</t>
        </is>
      </c>
      <c r="DQ2" s="3" t="inlineStr">
        <is>
          <t>ORRF US Equity</t>
        </is>
      </c>
      <c r="EU2" s="3" t="inlineStr">
        <is>
          <t>AREN US Equity</t>
        </is>
      </c>
      <c r="FY2" s="3" t="inlineStr">
        <is>
          <t>INVX US Equity</t>
        </is>
      </c>
      <c r="HC2" s="3" t="inlineStr">
        <is>
          <t>1040983D US Equity</t>
        </is>
      </c>
      <c r="IG2" s="3" t="inlineStr">
        <is>
          <t>1368189D US Equity</t>
        </is>
      </c>
      <c r="JK2" s="3" t="inlineStr">
        <is>
          <t>EFII US Equity</t>
        </is>
      </c>
      <c r="KO2" s="3" t="inlineStr">
        <is>
          <t>0544749D US Equity</t>
        </is>
      </c>
      <c r="LS2" s="3" t="inlineStr">
        <is>
          <t>KNXA US Equity</t>
        </is>
      </c>
      <c r="MW2" s="3" t="inlineStr">
        <is>
          <t>AW US Equity</t>
        </is>
      </c>
      <c r="OA2" s="3" t="inlineStr">
        <is>
          <t>CNR US Equity</t>
        </is>
      </c>
      <c r="PE2" s="3" t="inlineStr">
        <is>
          <t>THFF US Equity</t>
        </is>
      </c>
      <c r="QI2" s="3" t="inlineStr">
        <is>
          <t>CBMD US Equity</t>
        </is>
      </c>
      <c r="RM2" s="3" t="inlineStr">
        <is>
          <t>PCBI US Equity</t>
        </is>
      </c>
      <c r="SQ2" s="3" t="inlineStr">
        <is>
          <t>57552Q US Equity</t>
        </is>
      </c>
      <c r="TU2" s="3" t="inlineStr">
        <is>
          <t>IFCB US Equity</t>
        </is>
      </c>
      <c r="UY2" s="3" t="inlineStr">
        <is>
          <t>EWBC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BDS("2347450D US Equity","SUPPLY_CHAIN_SUPPLIERS_FULL_DATA")</f>
        <v/>
      </c>
      <c r="O5">
        <f>BDS("2347450D US Equity","SUPPLY_CHAIN_CUSTOMERS_FULL_DATA")</f>
        <v/>
      </c>
      <c r="AE5">
        <f>BDS("355488Q US Equity","SUPPLY_CHAIN_SUPPLIERS_FULL_DATA")</f>
        <v/>
      </c>
      <c r="AS5">
        <f>BDS("355488Q US Equity","SUPPLY_CHAIN_CUSTOMERS_FULL_DATA")</f>
        <v/>
      </c>
      <c r="BI5">
        <f>BDS("CYT US Equity","SUPPLY_CHAIN_SUPPLIERS_FULL_DATA")</f>
        <v/>
      </c>
      <c r="BW5">
        <f>BDS("CYT US Equity","SUPPLY_CHAIN_CUSTOMERS_FULL_DATA")</f>
        <v/>
      </c>
      <c r="CM5">
        <f>BDS("FNWD US Equity","SUPPLY_CHAIN_SUPPLIERS_FULL_DATA")</f>
        <v/>
      </c>
      <c r="DA5">
        <f>BDS("FNWD US Equity","SUPPLY_CHAIN_CUSTOMERS_FULL_DATA")</f>
        <v/>
      </c>
      <c r="DQ5">
        <f>BDS("ORRF US Equity","SUPPLY_CHAIN_SUPPLIERS_FULL_DATA")</f>
        <v/>
      </c>
      <c r="EE5">
        <f>BDS("ORRF US Equity","SUPPLY_CHAIN_CUSTOMERS_FULL_DATA")</f>
        <v/>
      </c>
      <c r="EU5">
        <f>BDS("AREN US Equity","SUPPLY_CHAIN_SUPPLIERS_FULL_DATA")</f>
        <v/>
      </c>
      <c r="FI5">
        <f>BDS("AREN US Equity","SUPPLY_CHAIN_CUSTOMERS_FULL_DATA")</f>
        <v/>
      </c>
      <c r="FY5">
        <f>BDS("INVX US Equity","SUPPLY_CHAIN_SUPPLIERS_FULL_DATA")</f>
        <v/>
      </c>
      <c r="GM5">
        <f>BDS("INVX US Equity","SUPPLY_CHAIN_CUSTOMERS_FULL_DATA")</f>
        <v/>
      </c>
      <c r="HC5">
        <f>BDS("1040983D US Equity","SUPPLY_CHAIN_SUPPLIERS_FULL_DATA")</f>
        <v/>
      </c>
      <c r="HQ5">
        <f>BDS("1040983D US Equity","SUPPLY_CHAIN_CUSTOMERS_FULL_DATA")</f>
        <v/>
      </c>
      <c r="IG5">
        <f>BDS("1368189D US Equity","SUPPLY_CHAIN_SUPPLIERS_FULL_DATA")</f>
        <v/>
      </c>
      <c r="IU5">
        <f>BDS("1368189D US Equity","SUPPLY_CHAIN_CUSTOMERS_FULL_DATA")</f>
        <v/>
      </c>
      <c r="JK5">
        <f>BDS("EFII US Equity","SUPPLY_CHAIN_SUPPLIERS_FULL_DATA")</f>
        <v/>
      </c>
      <c r="JY5">
        <f>BDS("EFII US Equity","SUPPLY_CHAIN_CUSTOMERS_FULL_DATA")</f>
        <v/>
      </c>
      <c r="KO5">
        <f>BDS("0544749D US Equity","SUPPLY_CHAIN_SUPPLIERS_FULL_DATA")</f>
        <v/>
      </c>
      <c r="LC5">
        <f>BDS("0544749D US Equity","SUPPLY_CHAIN_CUSTOMERS_FULL_DATA")</f>
        <v/>
      </c>
      <c r="LS5">
        <f>BDS("KNXA US Equity","SUPPLY_CHAIN_SUPPLIERS_FULL_DATA")</f>
        <v/>
      </c>
      <c r="MG5">
        <f>BDS("KNXA US Equity","SUPPLY_CHAIN_CUSTOMERS_FULL_DATA")</f>
        <v/>
      </c>
      <c r="MW5">
        <f>BDS("AW US Equity","SUPPLY_CHAIN_SUPPLIERS_FULL_DATA")</f>
        <v/>
      </c>
      <c r="NK5">
        <f>BDS("AW US Equity","SUPPLY_CHAIN_CUSTOMERS_FULL_DATA")</f>
        <v/>
      </c>
      <c r="OA5">
        <f>BDS("CNR US Equity","SUPPLY_CHAIN_SUPPLIERS_FULL_DATA")</f>
        <v/>
      </c>
      <c r="OO5">
        <f>BDS("CNR US Equity","SUPPLY_CHAIN_CUSTOMERS_FULL_DATA")</f>
        <v/>
      </c>
      <c r="PE5">
        <f>BDS("THFF US Equity","SUPPLY_CHAIN_SUPPLIERS_FULL_DATA")</f>
        <v/>
      </c>
      <c r="PS5">
        <f>BDS("THFF US Equity","SUPPLY_CHAIN_CUSTOMERS_FULL_DATA")</f>
        <v/>
      </c>
      <c r="QI5">
        <f>BDS("CBMD US Equity","SUPPLY_CHAIN_SUPPLIERS_FULL_DATA")</f>
        <v/>
      </c>
      <c r="QW5">
        <f>BDS("CBMD US Equity","SUPPLY_CHAIN_CUSTOMERS_FULL_DATA")</f>
        <v/>
      </c>
      <c r="RM5">
        <f>BDS("PCBI US Equity","SUPPLY_CHAIN_SUPPLIERS_FULL_DATA")</f>
        <v/>
      </c>
      <c r="SA5">
        <f>BDS("PCBI US Equity","SUPPLY_CHAIN_CUSTOMERS_FULL_DATA")</f>
        <v/>
      </c>
      <c r="SQ5">
        <f>BDS("57552Q US Equity","SUPPLY_CHAIN_SUPPLIERS_FULL_DATA")</f>
        <v/>
      </c>
      <c r="TE5">
        <f>BDS("57552Q US Equity","SUPPLY_CHAIN_CUSTOMERS_FULL_DATA")</f>
        <v/>
      </c>
      <c r="TU5">
        <f>BDS("IFCB US Equity","SUPPLY_CHAIN_SUPPLIERS_FULL_DATA")</f>
        <v/>
      </c>
      <c r="UI5">
        <f>BDS("IFCB US Equity","SUPPLY_CHAIN_CUSTOMERS_FULL_DATA")</f>
        <v/>
      </c>
      <c r="UY5">
        <f>BDS("EWBC US Equity","SUPPLY_CHAIN_SUPPLIERS_FULL_DATA")</f>
        <v/>
      </c>
      <c r="VM5">
        <f>BDS("EWBC US Equity","SUPPLY_CHAIN_CUSTOMERS_FULL_DATA")</f>
        <v/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4301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4302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4303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4304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4305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4306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4307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4308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4309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4310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4311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4312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4313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4314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4315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4316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4317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4318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4319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4320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KODK US Equity</t>
        </is>
      </c>
      <c r="AE2" s="3" t="inlineStr">
        <is>
          <t>FSNMQ US Equity</t>
        </is>
      </c>
      <c r="BI2" s="3" t="inlineStr">
        <is>
          <t>PEBO US Equity</t>
        </is>
      </c>
      <c r="CM2" s="3" t="inlineStr">
        <is>
          <t>MFNC US Equity</t>
        </is>
      </c>
      <c r="DQ2" s="3" t="inlineStr">
        <is>
          <t>WAFD US Equity</t>
        </is>
      </c>
      <c r="EU2" s="3" t="inlineStr">
        <is>
          <t>DGIT US Equity</t>
        </is>
      </c>
      <c r="FY2" s="3" t="inlineStr">
        <is>
          <t>VTEQ US Equity</t>
        </is>
      </c>
      <c r="HC2" s="3" t="inlineStr">
        <is>
          <t>FULT US Equity</t>
        </is>
      </c>
      <c r="IG2" s="3" t="inlineStr">
        <is>
          <t>HBNC US Equity</t>
        </is>
      </c>
      <c r="JK2" s="3" t="inlineStr">
        <is>
          <t>CSBC US Equity</t>
        </is>
      </c>
      <c r="KO2" s="3" t="inlineStr">
        <is>
          <t>1367809D US Equity</t>
        </is>
      </c>
      <c r="LS2" s="3" t="inlineStr">
        <is>
          <t>PMORQ US Equity</t>
        </is>
      </c>
      <c r="MW2" s="3" t="inlineStr">
        <is>
          <t>1667208D US Equity</t>
        </is>
      </c>
      <c r="OA2" s="3" t="inlineStr">
        <is>
          <t>FVCB US Equity</t>
        </is>
      </c>
      <c r="PE2" s="3" t="inlineStr">
        <is>
          <t>ACNB US Equity</t>
        </is>
      </c>
      <c r="QI2" s="3" t="inlineStr">
        <is>
          <t>AIV US Equity</t>
        </is>
      </c>
      <c r="RM2" s="3" t="inlineStr">
        <is>
          <t>UNH US Equity</t>
        </is>
      </c>
      <c r="SQ2" s="3" t="inlineStr">
        <is>
          <t>BPFH US Equity</t>
        </is>
      </c>
      <c r="TU2" s="3" t="inlineStr">
        <is>
          <t>1348098D US Equity</t>
        </is>
      </c>
      <c r="UY2" s="3" t="inlineStr">
        <is>
          <t>TTWO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BDS("KODK US Equity","SUPPLY_CHAIN_SUPPLIERS_FULL_DATA")</f>
        <v/>
      </c>
      <c r="O5">
        <f>BDS("KODK US Equity","SUPPLY_CHAIN_CUSTOMERS_FULL_DATA")</f>
        <v/>
      </c>
      <c r="AE5">
        <f>BDS("FSNMQ US Equity","SUPPLY_CHAIN_SUPPLIERS_FULL_DATA")</f>
        <v/>
      </c>
      <c r="AS5">
        <f>BDS("FSNMQ US Equity","SUPPLY_CHAIN_CUSTOMERS_FULL_DATA")</f>
        <v/>
      </c>
      <c r="BI5">
        <f>BDS("PEBO US Equity","SUPPLY_CHAIN_SUPPLIERS_FULL_DATA")</f>
        <v/>
      </c>
      <c r="BW5">
        <f>BDS("PEBO US Equity","SUPPLY_CHAIN_CUSTOMERS_FULL_DATA")</f>
        <v/>
      </c>
      <c r="CM5">
        <f>BDS("MFNC US Equity","SUPPLY_CHAIN_SUPPLIERS_FULL_DATA")</f>
        <v/>
      </c>
      <c r="DA5">
        <f>BDS("MFNC US Equity","SUPPLY_CHAIN_CUSTOMERS_FULL_DATA")</f>
        <v/>
      </c>
      <c r="DQ5">
        <f>BDS("WAFD US Equity","SUPPLY_CHAIN_SUPPLIERS_FULL_DATA")</f>
        <v/>
      </c>
      <c r="EE5">
        <f>BDS("WAFD US Equity","SUPPLY_CHAIN_CUSTOMERS_FULL_DATA")</f>
        <v/>
      </c>
      <c r="EU5">
        <f>BDS("DGIT US Equity","SUPPLY_CHAIN_SUPPLIERS_FULL_DATA")</f>
        <v/>
      </c>
      <c r="FI5">
        <f>BDS("DGIT US Equity","SUPPLY_CHAIN_CUSTOMERS_FULL_DATA")</f>
        <v/>
      </c>
      <c r="FY5">
        <f>BDS("VTEQ US Equity","SUPPLY_CHAIN_SUPPLIERS_FULL_DATA")</f>
        <v/>
      </c>
      <c r="GM5">
        <f>BDS("VTEQ US Equity","SUPPLY_CHAIN_CUSTOMERS_FULL_DATA")</f>
        <v/>
      </c>
      <c r="HC5">
        <f>BDS("FULT US Equity","SUPPLY_CHAIN_SUPPLIERS_FULL_DATA")</f>
        <v/>
      </c>
      <c r="HQ5">
        <f>BDS("FULT US Equity","SUPPLY_CHAIN_CUSTOMERS_FULL_DATA")</f>
        <v/>
      </c>
      <c r="IG5">
        <f>BDS("HBNC US Equity","SUPPLY_CHAIN_SUPPLIERS_FULL_DATA")</f>
        <v/>
      </c>
      <c r="IU5">
        <f>BDS("HBNC US Equity","SUPPLY_CHAIN_CUSTOMERS_FULL_DATA")</f>
        <v/>
      </c>
      <c r="JK5">
        <f>BDS("CSBC US Equity","SUPPLY_CHAIN_SUPPLIERS_FULL_DATA")</f>
        <v/>
      </c>
      <c r="JY5">
        <f>BDS("CSBC US Equity","SUPPLY_CHAIN_CUSTOMERS_FULL_DATA")</f>
        <v/>
      </c>
      <c r="KO5">
        <f>BDS("1367809D US Equity","SUPPLY_CHAIN_SUPPLIERS_FULL_DATA")</f>
        <v/>
      </c>
      <c r="LC5">
        <f>BDS("1367809D US Equity","SUPPLY_CHAIN_CUSTOMERS_FULL_DATA")</f>
        <v/>
      </c>
      <c r="LS5">
        <f>BDS("PMORQ US Equity","SUPPLY_CHAIN_SUPPLIERS_FULL_DATA")</f>
        <v/>
      </c>
      <c r="MG5">
        <f>BDS("PMORQ US Equity","SUPPLY_CHAIN_CUSTOMERS_FULL_DATA")</f>
        <v/>
      </c>
      <c r="MW5">
        <f>BDS("1667208D US Equity","SUPPLY_CHAIN_SUPPLIERS_FULL_DATA")</f>
        <v/>
      </c>
      <c r="NK5">
        <f>BDS("1667208D US Equity","SUPPLY_CHAIN_CUSTOMERS_FULL_DATA")</f>
        <v/>
      </c>
      <c r="OA5">
        <f>BDS("FVCB US Equity","SUPPLY_CHAIN_SUPPLIERS_FULL_DATA")</f>
        <v/>
      </c>
      <c r="OO5">
        <f>BDS("FVCB US Equity","SUPPLY_CHAIN_CUSTOMERS_FULL_DATA")</f>
        <v/>
      </c>
      <c r="PE5">
        <f>BDS("ACNB US Equity","SUPPLY_CHAIN_SUPPLIERS_FULL_DATA")</f>
        <v/>
      </c>
      <c r="PS5">
        <f>BDS("ACNB US Equity","SUPPLY_CHAIN_CUSTOMERS_FULL_DATA")</f>
        <v/>
      </c>
      <c r="QI5">
        <f>BDS("AIV US Equity","SUPPLY_CHAIN_SUPPLIERS_FULL_DATA")</f>
        <v/>
      </c>
      <c r="QW5">
        <f>BDS("AIV US Equity","SUPPLY_CHAIN_CUSTOMERS_FULL_DATA")</f>
        <v/>
      </c>
      <c r="RM5">
        <f>BDS("UNH US Equity","SUPPLY_CHAIN_SUPPLIERS_FULL_DATA")</f>
        <v/>
      </c>
      <c r="SA5">
        <f>BDS("UNH US Equity","SUPPLY_CHAIN_CUSTOMERS_FULL_DATA")</f>
        <v/>
      </c>
      <c r="SQ5">
        <f>BDS("BPFH US Equity","SUPPLY_CHAIN_SUPPLIERS_FULL_DATA")</f>
        <v/>
      </c>
      <c r="TE5">
        <f>BDS("BPFH US Equity","SUPPLY_CHAIN_CUSTOMERS_FULL_DATA")</f>
        <v/>
      </c>
      <c r="TU5">
        <f>BDS("1348098D US Equity","SUPPLY_CHAIN_SUPPLIERS_FULL_DATA")</f>
        <v/>
      </c>
      <c r="UI5">
        <f>BDS("1348098D US Equity","SUPPLY_CHAIN_CUSTOMERS_FULL_DATA")</f>
        <v/>
      </c>
      <c r="UY5">
        <f>BDS("TTWO US Equity","SUPPLY_CHAIN_SUPPLIERS_FULL_DATA")</f>
        <v/>
      </c>
      <c r="VM5">
        <f>BDS("TTWO US Equity","SUPPLY_CHAIN_CUSTOMERS_FULL_DATA")</f>
        <v/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4321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4322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4323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4324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4325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4326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4327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4328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4329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4330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4331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4332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4333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4334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4335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4336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4337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4338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4339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4340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AREMQ US Equity</t>
        </is>
      </c>
      <c r="AE2" s="3" t="inlineStr">
        <is>
          <t>PBKS US Equity</t>
        </is>
      </c>
      <c r="BI2" s="3" t="inlineStr">
        <is>
          <t>PSTB US Equity</t>
        </is>
      </c>
      <c r="CM2" s="3" t="inlineStr">
        <is>
          <t>CY US Equity</t>
        </is>
      </c>
      <c r="DQ2" s="3" t="inlineStr">
        <is>
          <t>BUSE US Equity</t>
        </is>
      </c>
      <c r="EU2" s="3" t="inlineStr">
        <is>
          <t>2096692D US Equity</t>
        </is>
      </c>
      <c r="FY2" s="3" t="inlineStr">
        <is>
          <t>OPLK US Equity</t>
        </is>
      </c>
      <c r="HC2" s="3" t="inlineStr">
        <is>
          <t>244630Q US Equity</t>
        </is>
      </c>
      <c r="IG2" s="3" t="inlineStr">
        <is>
          <t>SNPS US Equity</t>
        </is>
      </c>
      <c r="JK2" s="3" t="inlineStr">
        <is>
          <t>NWBI US Equity</t>
        </is>
      </c>
      <c r="KO2" s="3" t="inlineStr">
        <is>
          <t>BMRC US Equity</t>
        </is>
      </c>
      <c r="LS2" s="3" t="inlineStr">
        <is>
          <t>PACW US Equity</t>
        </is>
      </c>
      <c r="MW2" s="3" t="inlineStr">
        <is>
          <t>FMNB US Equity</t>
        </is>
      </c>
      <c r="OA2" s="3" t="inlineStr">
        <is>
          <t>NFG US Equity</t>
        </is>
      </c>
      <c r="PE2" s="3" t="inlineStr">
        <is>
          <t>1339658D US Equity</t>
        </is>
      </c>
      <c r="QI2" s="3" t="inlineStr">
        <is>
          <t>MCCK US Equity</t>
        </is>
      </c>
      <c r="RM2" s="3" t="inlineStr">
        <is>
          <t>598014Q US Equity</t>
        </is>
      </c>
      <c r="SQ2" s="3" t="inlineStr">
        <is>
          <t>TTN US Equity</t>
        </is>
      </c>
      <c r="TU2" s="3" t="inlineStr">
        <is>
          <t>CBCRQ US Equity</t>
        </is>
      </c>
      <c r="UY2" s="3" t="inlineStr">
        <is>
          <t>GBTB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BDS("AREMQ US Equity","SUPPLY_CHAIN_SUPPLIERS_FULL_DATA")</f>
        <v/>
      </c>
      <c r="O5">
        <f>BDS("AREMQ US Equity","SUPPLY_CHAIN_CUSTOMERS_FULL_DATA")</f>
        <v/>
      </c>
      <c r="AE5">
        <f>BDS("PBKS US Equity","SUPPLY_CHAIN_SUPPLIERS_FULL_DATA")</f>
        <v/>
      </c>
      <c r="AS5">
        <f>BDS("PBKS US Equity","SUPPLY_CHAIN_CUSTOMERS_FULL_DATA")</f>
        <v/>
      </c>
      <c r="BI5">
        <f>BDS("PSTB US Equity","SUPPLY_CHAIN_SUPPLIERS_FULL_DATA")</f>
        <v/>
      </c>
      <c r="BW5">
        <f>BDS("PSTB US Equity","SUPPLY_CHAIN_CUSTOMERS_FULL_DATA")</f>
        <v/>
      </c>
      <c r="CM5">
        <f>BDS("CY US Equity","SUPPLY_CHAIN_SUPPLIERS_FULL_DATA")</f>
        <v/>
      </c>
      <c r="DA5">
        <f>BDS("CY US Equity","SUPPLY_CHAIN_CUSTOMERS_FULL_DATA")</f>
        <v/>
      </c>
      <c r="DQ5">
        <f>BDS("BUSE US Equity","SUPPLY_CHAIN_SUPPLIERS_FULL_DATA")</f>
        <v/>
      </c>
      <c r="EE5">
        <f>BDS("BUSE US Equity","SUPPLY_CHAIN_CUSTOMERS_FULL_DATA")</f>
        <v/>
      </c>
      <c r="EU5">
        <f>BDS("2096692D US Equity","SUPPLY_CHAIN_SUPPLIERS_FULL_DATA")</f>
        <v/>
      </c>
      <c r="FI5">
        <f>BDS("2096692D US Equity","SUPPLY_CHAIN_CUSTOMERS_FULL_DATA")</f>
        <v/>
      </c>
      <c r="FY5">
        <f>BDS("OPLK US Equity","SUPPLY_CHAIN_SUPPLIERS_FULL_DATA")</f>
        <v/>
      </c>
      <c r="GM5">
        <f>BDS("OPLK US Equity","SUPPLY_CHAIN_CUSTOMERS_FULL_DATA")</f>
        <v/>
      </c>
      <c r="HC5">
        <f>BDS("244630Q US Equity","SUPPLY_CHAIN_SUPPLIERS_FULL_DATA")</f>
        <v/>
      </c>
      <c r="HQ5">
        <f>BDS("244630Q US Equity","SUPPLY_CHAIN_CUSTOMERS_FULL_DATA")</f>
        <v/>
      </c>
      <c r="IG5">
        <f>BDS("SNPS US Equity","SUPPLY_CHAIN_SUPPLIERS_FULL_DATA")</f>
        <v/>
      </c>
      <c r="IU5">
        <f>BDS("SNPS US Equity","SUPPLY_CHAIN_CUSTOMERS_FULL_DATA")</f>
        <v/>
      </c>
      <c r="JK5">
        <f>BDS("NWBI US Equity","SUPPLY_CHAIN_SUPPLIERS_FULL_DATA")</f>
        <v/>
      </c>
      <c r="JY5">
        <f>BDS("NWBI US Equity","SUPPLY_CHAIN_CUSTOMERS_FULL_DATA")</f>
        <v/>
      </c>
      <c r="KO5">
        <f>BDS("BMRC US Equity","SUPPLY_CHAIN_SUPPLIERS_FULL_DATA")</f>
        <v/>
      </c>
      <c r="LC5">
        <f>BDS("BMRC US Equity","SUPPLY_CHAIN_CUSTOMERS_FULL_DATA")</f>
        <v/>
      </c>
      <c r="LS5">
        <f>BDS("PACW US Equity","SUPPLY_CHAIN_SUPPLIERS_FULL_DATA")</f>
        <v/>
      </c>
      <c r="MG5">
        <f>BDS("PACW US Equity","SUPPLY_CHAIN_CUSTOMERS_FULL_DATA")</f>
        <v/>
      </c>
      <c r="MW5">
        <f>BDS("FMNB US Equity","SUPPLY_CHAIN_SUPPLIERS_FULL_DATA")</f>
        <v/>
      </c>
      <c r="NK5">
        <f>BDS("FMNB US Equity","SUPPLY_CHAIN_CUSTOMERS_FULL_DATA")</f>
        <v/>
      </c>
      <c r="OA5">
        <f>BDS("NFG US Equity","SUPPLY_CHAIN_SUPPLIERS_FULL_DATA")</f>
        <v/>
      </c>
      <c r="OO5">
        <f>BDS("NFG US Equity","SUPPLY_CHAIN_CUSTOMERS_FULL_DATA")</f>
        <v/>
      </c>
      <c r="PE5">
        <f>BDS("1339658D US Equity","SUPPLY_CHAIN_SUPPLIERS_FULL_DATA")</f>
        <v/>
      </c>
      <c r="PS5">
        <f>BDS("1339658D US Equity","SUPPLY_CHAIN_CUSTOMERS_FULL_DATA")</f>
        <v/>
      </c>
      <c r="QI5">
        <f>BDS("MCCK US Equity","SUPPLY_CHAIN_SUPPLIERS_FULL_DATA")</f>
        <v/>
      </c>
      <c r="QW5">
        <f>BDS("MCCK US Equity","SUPPLY_CHAIN_CUSTOMERS_FULL_DATA")</f>
        <v/>
      </c>
      <c r="RM5">
        <f>BDS("598014Q US Equity","SUPPLY_CHAIN_SUPPLIERS_FULL_DATA")</f>
        <v/>
      </c>
      <c r="SA5">
        <f>BDS("598014Q US Equity","SUPPLY_CHAIN_CUSTOMERS_FULL_DATA")</f>
        <v/>
      </c>
      <c r="SQ5">
        <f>BDS("TTN US Equity","SUPPLY_CHAIN_SUPPLIERS_FULL_DATA")</f>
        <v/>
      </c>
      <c r="TE5">
        <f>BDS("TTN US Equity","SUPPLY_CHAIN_CUSTOMERS_FULL_DATA")</f>
        <v/>
      </c>
      <c r="TU5">
        <f>BDS("CBCRQ US Equity","SUPPLY_CHAIN_SUPPLIERS_FULL_DATA")</f>
        <v/>
      </c>
      <c r="UI5">
        <f>BDS("CBCRQ US Equity","SUPPLY_CHAIN_CUSTOMERS_FULL_DATA")</f>
        <v/>
      </c>
      <c r="UY5">
        <f>BDS("GBTB US Equity","SUPPLY_CHAIN_SUPPLIERS_FULL_DATA")</f>
        <v/>
      </c>
      <c r="VM5">
        <f>BDS("GBTB US Equity","SUPPLY_CHAIN_CUSTOMERS_FULL_DATA")</f>
        <v/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4341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4342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4343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4344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4345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4346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4347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4348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4349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4350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4351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4352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4353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4354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4355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4356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4357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4358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4359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4360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RBCAA US Equity</t>
        </is>
      </c>
      <c r="AE2" s="3" t="inlineStr">
        <is>
          <t>JLL US Equity</t>
        </is>
      </c>
      <c r="BI2" s="3" t="inlineStr">
        <is>
          <t>DDRX US Equity</t>
        </is>
      </c>
      <c r="CM2" s="3" t="inlineStr">
        <is>
          <t>RBI US Equity</t>
        </is>
      </c>
      <c r="DQ2" s="3" t="inlineStr">
        <is>
          <t>1506328D US Equity</t>
        </is>
      </c>
      <c r="EU2" s="3" t="inlineStr">
        <is>
          <t>LBAI US Equity</t>
        </is>
      </c>
      <c r="FY2" s="3" t="inlineStr">
        <is>
          <t>TMO US Equity</t>
        </is>
      </c>
      <c r="HC2" s="3" t="inlineStr">
        <is>
          <t>GBBK US Equity</t>
        </is>
      </c>
      <c r="IG2" s="3" t="inlineStr">
        <is>
          <t>LBAI US Equity</t>
        </is>
      </c>
      <c r="JK2" s="3" t="inlineStr">
        <is>
          <t>BORL US Equity</t>
        </is>
      </c>
      <c r="KO2" s="3" t="inlineStr">
        <is>
          <t>COHM US Equity</t>
        </is>
      </c>
      <c r="LS2" s="3" t="inlineStr">
        <is>
          <t>CBC US Equity</t>
        </is>
      </c>
      <c r="MW2" s="3" t="inlineStr">
        <is>
          <t>75158Q US Equity</t>
        </is>
      </c>
      <c r="OA2" s="3" t="inlineStr">
        <is>
          <t>761407Q US Equity</t>
        </is>
      </c>
      <c r="PE2" s="3" t="inlineStr">
        <is>
          <t>TOBC US Equity</t>
        </is>
      </c>
      <c r="QI2" s="3" t="inlineStr">
        <is>
          <t>KFFB US Equity</t>
        </is>
      </c>
      <c r="RM2" s="3" t="inlineStr">
        <is>
          <t>8277875Q US Equity</t>
        </is>
      </c>
      <c r="SQ2" s="3" t="inlineStr">
        <is>
          <t>NCF US Equity</t>
        </is>
      </c>
      <c r="TU2" s="3" t="inlineStr">
        <is>
          <t>UIS US Equity</t>
        </is>
      </c>
      <c r="UY2" s="3" t="inlineStr">
        <is>
          <t>MSFG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BDS("RBCAA US Equity","SUPPLY_CHAIN_SUPPLIERS_FULL_DATA")</f>
        <v/>
      </c>
      <c r="O5">
        <f>BDS("RBCAA US Equity","SUPPLY_CHAIN_CUSTOMERS_FULL_DATA")</f>
        <v/>
      </c>
      <c r="AE5">
        <f>BDS("JLL US Equity","SUPPLY_CHAIN_SUPPLIERS_FULL_DATA")</f>
        <v/>
      </c>
      <c r="AS5">
        <f>BDS("JLL US Equity","SUPPLY_CHAIN_CUSTOMERS_FULL_DATA")</f>
        <v/>
      </c>
      <c r="BI5">
        <f>BDS("DDRX US Equity","SUPPLY_CHAIN_SUPPLIERS_FULL_DATA")</f>
        <v/>
      </c>
      <c r="BW5">
        <f>BDS("DDRX US Equity","SUPPLY_CHAIN_CUSTOMERS_FULL_DATA")</f>
        <v/>
      </c>
      <c r="CM5">
        <f>BDS("RBI US Equity","SUPPLY_CHAIN_SUPPLIERS_FULL_DATA")</f>
        <v/>
      </c>
      <c r="DA5">
        <f>BDS("RBI US Equity","SUPPLY_CHAIN_CUSTOMERS_FULL_DATA")</f>
        <v/>
      </c>
      <c r="DQ5">
        <f>BDS("1506328D US Equity","SUPPLY_CHAIN_SUPPLIERS_FULL_DATA")</f>
        <v/>
      </c>
      <c r="EE5">
        <f>BDS("1506328D US Equity","SUPPLY_CHAIN_CUSTOMERS_FULL_DATA")</f>
        <v/>
      </c>
      <c r="EU5">
        <f>BDS("LBAI US Equity","SUPPLY_CHAIN_SUPPLIERS_FULL_DATA")</f>
        <v/>
      </c>
      <c r="FI5">
        <f>BDS("LBAI US Equity","SUPPLY_CHAIN_CUSTOMERS_FULL_DATA")</f>
        <v/>
      </c>
      <c r="FY5">
        <f>BDS("TMO US Equity","SUPPLY_CHAIN_SUPPLIERS_FULL_DATA")</f>
        <v/>
      </c>
      <c r="GM5">
        <f>BDS("TMO US Equity","SUPPLY_CHAIN_CUSTOMERS_FULL_DATA")</f>
        <v/>
      </c>
      <c r="HC5">
        <f>BDS("GBBK US Equity","SUPPLY_CHAIN_SUPPLIERS_FULL_DATA")</f>
        <v/>
      </c>
      <c r="HQ5">
        <f>BDS("GBBK US Equity","SUPPLY_CHAIN_CUSTOMERS_FULL_DATA")</f>
        <v/>
      </c>
      <c r="IG5">
        <f>BDS("LBAI US Equity","SUPPLY_CHAIN_SUPPLIERS_FULL_DATA")</f>
        <v/>
      </c>
      <c r="IU5">
        <f>BDS("LBAI US Equity","SUPPLY_CHAIN_CUSTOMERS_FULL_DATA")</f>
        <v/>
      </c>
      <c r="JK5">
        <f>BDS("BORL US Equity","SUPPLY_CHAIN_SUPPLIERS_FULL_DATA")</f>
        <v/>
      </c>
      <c r="JY5">
        <f>BDS("BORL US Equity","SUPPLY_CHAIN_CUSTOMERS_FULL_DATA")</f>
        <v/>
      </c>
      <c r="KO5">
        <f>BDS("COHM US Equity","SUPPLY_CHAIN_SUPPLIERS_FULL_DATA")</f>
        <v/>
      </c>
      <c r="LC5">
        <f>BDS("COHM US Equity","SUPPLY_CHAIN_CUSTOMERS_FULL_DATA")</f>
        <v/>
      </c>
      <c r="LS5">
        <f>BDS("CBC US Equity","SUPPLY_CHAIN_SUPPLIERS_FULL_DATA")</f>
        <v/>
      </c>
      <c r="MG5">
        <f>BDS("CBC US Equity","SUPPLY_CHAIN_CUSTOMERS_FULL_DATA")</f>
        <v/>
      </c>
      <c r="MW5">
        <f>BDS("75158Q US Equity","SUPPLY_CHAIN_SUPPLIERS_FULL_DATA")</f>
        <v/>
      </c>
      <c r="NK5">
        <f>BDS("75158Q US Equity","SUPPLY_CHAIN_CUSTOMERS_FULL_DATA")</f>
        <v/>
      </c>
      <c r="OA5">
        <f>BDS("761407Q US Equity","SUPPLY_CHAIN_SUPPLIERS_FULL_DATA")</f>
        <v/>
      </c>
      <c r="OO5">
        <f>BDS("761407Q US Equity","SUPPLY_CHAIN_CUSTOMERS_FULL_DATA")</f>
        <v/>
      </c>
      <c r="PE5">
        <f>BDS("TOBC US Equity","SUPPLY_CHAIN_SUPPLIERS_FULL_DATA")</f>
        <v/>
      </c>
      <c r="PS5">
        <f>BDS("TOBC US Equity","SUPPLY_CHAIN_CUSTOMERS_FULL_DATA")</f>
        <v/>
      </c>
      <c r="QI5">
        <f>BDS("KFFB US Equity","SUPPLY_CHAIN_SUPPLIERS_FULL_DATA")</f>
        <v/>
      </c>
      <c r="QW5">
        <f>BDS("KFFB US Equity","SUPPLY_CHAIN_CUSTOMERS_FULL_DATA")</f>
        <v/>
      </c>
      <c r="RM5">
        <f>BDS("8277875Q US Equity","SUPPLY_CHAIN_SUPPLIERS_FULL_DATA")</f>
        <v/>
      </c>
      <c r="SA5">
        <f>BDS("8277875Q US Equity","SUPPLY_CHAIN_CUSTOMERS_FULL_DATA")</f>
        <v/>
      </c>
      <c r="SQ5">
        <f>BDS("NCF US Equity","SUPPLY_CHAIN_SUPPLIERS_FULL_DATA")</f>
        <v/>
      </c>
      <c r="TE5">
        <f>BDS("NCF US Equity","SUPPLY_CHAIN_CUSTOMERS_FULL_DATA")</f>
        <v/>
      </c>
      <c r="TU5">
        <f>BDS("UIS US Equity","SUPPLY_CHAIN_SUPPLIERS_FULL_DATA")</f>
        <v/>
      </c>
      <c r="UI5">
        <f>BDS("UIS US Equity","SUPPLY_CHAIN_CUSTOMERS_FULL_DATA")</f>
        <v/>
      </c>
      <c r="UY5">
        <f>BDS("MSFG US Equity","SUPPLY_CHAIN_SUPPLIERS_FULL_DATA")</f>
        <v/>
      </c>
      <c r="VM5">
        <f>BDS("MSFG US Equity","SUPPLY_CHAIN_CUSTOMERS_FULL_DATA")</f>
        <v/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4361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4362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4363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4364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4365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4366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4367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4368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4369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4370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4371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4372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4373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4374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4375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4376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4377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4378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4379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4380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AEIS US Equity</t>
        </is>
      </c>
      <c r="AE2" s="3" t="inlineStr">
        <is>
          <t>FICO US Equity</t>
        </is>
      </c>
      <c r="BI2" s="3" t="inlineStr">
        <is>
          <t>COB US Equity</t>
        </is>
      </c>
      <c r="CM2" s="3" t="inlineStr">
        <is>
          <t>BVFL US Equity</t>
        </is>
      </c>
      <c r="DQ2" s="3" t="inlineStr">
        <is>
          <t>PHSB US Equity</t>
        </is>
      </c>
      <c r="EU2" s="3" t="inlineStr">
        <is>
          <t>1477687D US Equity</t>
        </is>
      </c>
      <c r="FY2" s="3" t="inlineStr">
        <is>
          <t>HTLF US Equity</t>
        </is>
      </c>
      <c r="HC2" s="3" t="inlineStr">
        <is>
          <t>BGTHQ US Equity</t>
        </is>
      </c>
      <c r="IG2" s="3" t="inlineStr">
        <is>
          <t>HRBT US Equity</t>
        </is>
      </c>
      <c r="JK2" s="3" t="inlineStr">
        <is>
          <t>PRA US Equity</t>
        </is>
      </c>
      <c r="KO2" s="3" t="inlineStr">
        <is>
          <t>SBCP US Equity</t>
        </is>
      </c>
      <c r="LS2" s="3" t="inlineStr">
        <is>
          <t>TCBK US Equity</t>
        </is>
      </c>
      <c r="MW2" s="3" t="inlineStr">
        <is>
          <t>UBH US Equity</t>
        </is>
      </c>
      <c r="OA2" s="3" t="inlineStr">
        <is>
          <t>IHR US Equity</t>
        </is>
      </c>
      <c r="PE2" s="3" t="inlineStr">
        <is>
          <t>LCTX US Equity</t>
        </is>
      </c>
      <c r="QI2" s="3" t="inlineStr">
        <is>
          <t>AEIS US Equity</t>
        </is>
      </c>
      <c r="RM2" s="3" t="inlineStr">
        <is>
          <t>1893883D US Equity</t>
        </is>
      </c>
      <c r="SQ2" s="3" t="inlineStr">
        <is>
          <t>BSRR US Equity</t>
        </is>
      </c>
      <c r="TU2" s="3" t="inlineStr">
        <is>
          <t>1492800D US Equity</t>
        </is>
      </c>
      <c r="UY2" s="3" t="inlineStr">
        <is>
          <t>RBBN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BDS("AEIS US Equity","SUPPLY_CHAIN_SUPPLIERS_FULL_DATA")</f>
        <v/>
      </c>
      <c r="O5">
        <f>BDS("AEIS US Equity","SUPPLY_CHAIN_CUSTOMERS_FULL_DATA")</f>
        <v/>
      </c>
      <c r="AE5">
        <f>BDS("FICO US Equity","SUPPLY_CHAIN_SUPPLIERS_FULL_DATA")</f>
        <v/>
      </c>
      <c r="AS5">
        <f>BDS("FICO US Equity","SUPPLY_CHAIN_CUSTOMERS_FULL_DATA")</f>
        <v/>
      </c>
      <c r="BI5">
        <f>BDS("COB US Equity","SUPPLY_CHAIN_SUPPLIERS_FULL_DATA")</f>
        <v/>
      </c>
      <c r="BW5">
        <f>BDS("COB US Equity","SUPPLY_CHAIN_CUSTOMERS_FULL_DATA")</f>
        <v/>
      </c>
      <c r="CM5">
        <f>BDS("BVFL US Equity","SUPPLY_CHAIN_SUPPLIERS_FULL_DATA")</f>
        <v/>
      </c>
      <c r="DA5">
        <f>BDS("BVFL US Equity","SUPPLY_CHAIN_CUSTOMERS_FULL_DATA")</f>
        <v/>
      </c>
      <c r="DQ5">
        <f>BDS("PHSB US Equity","SUPPLY_CHAIN_SUPPLIERS_FULL_DATA")</f>
        <v/>
      </c>
      <c r="EE5">
        <f>BDS("PHSB US Equity","SUPPLY_CHAIN_CUSTOMERS_FULL_DATA")</f>
        <v/>
      </c>
      <c r="EU5">
        <f>BDS("1477687D US Equity","SUPPLY_CHAIN_SUPPLIERS_FULL_DATA")</f>
        <v/>
      </c>
      <c r="FI5">
        <f>BDS("1477687D US Equity","SUPPLY_CHAIN_CUSTOMERS_FULL_DATA")</f>
        <v/>
      </c>
      <c r="FY5">
        <f>BDS("HTLF US Equity","SUPPLY_CHAIN_SUPPLIERS_FULL_DATA")</f>
        <v/>
      </c>
      <c r="GM5">
        <f>BDS("HTLF US Equity","SUPPLY_CHAIN_CUSTOMERS_FULL_DATA")</f>
        <v/>
      </c>
      <c r="HC5">
        <f>BDS("BGTHQ US Equity","SUPPLY_CHAIN_SUPPLIERS_FULL_DATA")</f>
        <v/>
      </c>
      <c r="HQ5">
        <f>BDS("BGTHQ US Equity","SUPPLY_CHAIN_CUSTOMERS_FULL_DATA")</f>
        <v/>
      </c>
      <c r="IG5">
        <f>BDS("HRBT US Equity","SUPPLY_CHAIN_SUPPLIERS_FULL_DATA")</f>
        <v/>
      </c>
      <c r="IU5">
        <f>BDS("HRBT US Equity","SUPPLY_CHAIN_CUSTOMERS_FULL_DATA")</f>
        <v/>
      </c>
      <c r="JK5">
        <f>BDS("PRA US Equity","SUPPLY_CHAIN_SUPPLIERS_FULL_DATA")</f>
        <v/>
      </c>
      <c r="JY5">
        <f>BDS("PRA US Equity","SUPPLY_CHAIN_CUSTOMERS_FULL_DATA")</f>
        <v/>
      </c>
      <c r="KO5">
        <f>BDS("SBCP US Equity","SUPPLY_CHAIN_SUPPLIERS_FULL_DATA")</f>
        <v/>
      </c>
      <c r="LC5">
        <f>BDS("SBCP US Equity","SUPPLY_CHAIN_CUSTOMERS_FULL_DATA")</f>
        <v/>
      </c>
      <c r="LS5">
        <f>BDS("TCBK US Equity","SUPPLY_CHAIN_SUPPLIERS_FULL_DATA")</f>
        <v/>
      </c>
      <c r="MG5">
        <f>BDS("TCBK US Equity","SUPPLY_CHAIN_CUSTOMERS_FULL_DATA")</f>
        <v/>
      </c>
      <c r="MW5">
        <f>BDS("UBH US Equity","SUPPLY_CHAIN_SUPPLIERS_FULL_DATA")</f>
        <v/>
      </c>
      <c r="NK5">
        <f>BDS("UBH US Equity","SUPPLY_CHAIN_CUSTOMERS_FULL_DATA")</f>
        <v/>
      </c>
      <c r="OA5">
        <f>BDS("IHR US Equity","SUPPLY_CHAIN_SUPPLIERS_FULL_DATA")</f>
        <v/>
      </c>
      <c r="OO5">
        <f>BDS("IHR US Equity","SUPPLY_CHAIN_CUSTOMERS_FULL_DATA")</f>
        <v/>
      </c>
      <c r="PE5">
        <f>BDS("LCTX US Equity","SUPPLY_CHAIN_SUPPLIERS_FULL_DATA")</f>
        <v/>
      </c>
      <c r="PS5">
        <f>BDS("LCTX US Equity","SUPPLY_CHAIN_CUSTOMERS_FULL_DATA")</f>
        <v/>
      </c>
      <c r="QI5">
        <f>BDS("AEIS US Equity","SUPPLY_CHAIN_SUPPLIERS_FULL_DATA")</f>
        <v/>
      </c>
      <c r="QW5">
        <f>BDS("AEIS US Equity","SUPPLY_CHAIN_CUSTOMERS_FULL_DATA")</f>
        <v/>
      </c>
      <c r="RM5">
        <f>BDS("1893883D US Equity","SUPPLY_CHAIN_SUPPLIERS_FULL_DATA")</f>
        <v/>
      </c>
      <c r="SA5">
        <f>BDS("1893883D US Equity","SUPPLY_CHAIN_CUSTOMERS_FULL_DATA")</f>
        <v/>
      </c>
      <c r="SQ5">
        <f>BDS("BSRR US Equity","SUPPLY_CHAIN_SUPPLIERS_FULL_DATA")</f>
        <v/>
      </c>
      <c r="TE5">
        <f>BDS("BSRR US Equity","SUPPLY_CHAIN_CUSTOMERS_FULL_DATA")</f>
        <v/>
      </c>
      <c r="TU5">
        <f>BDS("1492800D US Equity","SUPPLY_CHAIN_SUPPLIERS_FULL_DATA")</f>
        <v/>
      </c>
      <c r="UI5">
        <f>BDS("1492800D US Equity","SUPPLY_CHAIN_CUSTOMERS_FULL_DATA")</f>
        <v/>
      </c>
      <c r="UY5">
        <f>BDS("RBBN US Equity","SUPPLY_CHAIN_SUPPLIERS_FULL_DATA")</f>
        <v/>
      </c>
      <c r="VM5">
        <f>BDS("RBBN US Equity","SUPPLY_CHAIN_CUSTOMERS_FULL_DATA")</f>
        <v/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4381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4382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4383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4384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4385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4386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4387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4388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4389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4390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4391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4392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4393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4394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4395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4396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4397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4398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4399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4400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AMRB US Equity</t>
        </is>
      </c>
      <c r="AE2" s="3" t="inlineStr">
        <is>
          <t>MSA US Equity</t>
        </is>
      </c>
      <c r="BI2" s="3" t="inlineStr">
        <is>
          <t>1978022D US Equity</t>
        </is>
      </c>
      <c r="CM2" s="3" t="inlineStr">
        <is>
          <t>HL US Equity</t>
        </is>
      </c>
      <c r="DQ2" s="3" t="inlineStr">
        <is>
          <t>CXDO US Equity</t>
        </is>
      </c>
      <c r="EU2" s="3" t="inlineStr">
        <is>
          <t>CVA US Equity</t>
        </is>
      </c>
      <c r="FY2" s="3" t="inlineStr">
        <is>
          <t>LGND US Equity</t>
        </is>
      </c>
      <c r="HC2" s="3" t="inlineStr">
        <is>
          <t>2894314Q US Equity</t>
        </is>
      </c>
      <c r="IG2" s="3" t="inlineStr">
        <is>
          <t>9474176Q US Equity</t>
        </is>
      </c>
      <c r="JK2" s="3" t="inlineStr">
        <is>
          <t>HNBC US Equity</t>
        </is>
      </c>
      <c r="KO2" s="3" t="inlineStr">
        <is>
          <t>CLPA US Equity</t>
        </is>
      </c>
      <c r="LS2" s="3" t="inlineStr">
        <is>
          <t>AOILQ US Equity</t>
        </is>
      </c>
      <c r="MW2" s="3" t="inlineStr">
        <is>
          <t>FTNT US Equity</t>
        </is>
      </c>
      <c r="OA2" s="3" t="inlineStr">
        <is>
          <t>1413542D US Equity</t>
        </is>
      </c>
      <c r="PE2" s="3" t="inlineStr">
        <is>
          <t>1518080D US Equity</t>
        </is>
      </c>
      <c r="QI2" s="3" t="inlineStr">
        <is>
          <t>AWBCQ US Equity</t>
        </is>
      </c>
      <c r="RM2" s="3" t="inlineStr">
        <is>
          <t>1500616D US Equity</t>
        </is>
      </c>
      <c r="SQ2" s="3" t="inlineStr">
        <is>
          <t>VATE US Equity</t>
        </is>
      </c>
      <c r="TU2" s="3" t="inlineStr">
        <is>
          <t>TCF US Equity</t>
        </is>
      </c>
      <c r="UY2" s="3" t="inlineStr">
        <is>
          <t>TDY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BDS("AMRB US Equity","SUPPLY_CHAIN_SUPPLIERS_FULL_DATA")</f>
        <v/>
      </c>
      <c r="O5">
        <f>BDS("AMRB US Equity","SUPPLY_CHAIN_CUSTOMERS_FULL_DATA")</f>
        <v/>
      </c>
      <c r="AE5">
        <f>BDS("MSA US Equity","SUPPLY_CHAIN_SUPPLIERS_FULL_DATA")</f>
        <v/>
      </c>
      <c r="AS5">
        <f>BDS("MSA US Equity","SUPPLY_CHAIN_CUSTOMERS_FULL_DATA")</f>
        <v/>
      </c>
      <c r="BI5">
        <f>BDS("1978022D US Equity","SUPPLY_CHAIN_SUPPLIERS_FULL_DATA")</f>
        <v/>
      </c>
      <c r="BW5">
        <f>BDS("1978022D US Equity","SUPPLY_CHAIN_CUSTOMERS_FULL_DATA")</f>
        <v/>
      </c>
      <c r="CM5">
        <f>BDS("HL US Equity","SUPPLY_CHAIN_SUPPLIERS_FULL_DATA")</f>
        <v/>
      </c>
      <c r="DA5">
        <f>BDS("HL US Equity","SUPPLY_CHAIN_CUSTOMERS_FULL_DATA")</f>
        <v/>
      </c>
      <c r="DQ5">
        <f>BDS("CXDO US Equity","SUPPLY_CHAIN_SUPPLIERS_FULL_DATA")</f>
        <v/>
      </c>
      <c r="EE5">
        <f>BDS("CXDO US Equity","SUPPLY_CHAIN_CUSTOMERS_FULL_DATA")</f>
        <v/>
      </c>
      <c r="EU5">
        <f>BDS("CVA US Equity","SUPPLY_CHAIN_SUPPLIERS_FULL_DATA")</f>
        <v/>
      </c>
      <c r="FI5">
        <f>BDS("CVA US Equity","SUPPLY_CHAIN_CUSTOMERS_FULL_DATA")</f>
        <v/>
      </c>
      <c r="FY5">
        <f>BDS("LGND US Equity","SUPPLY_CHAIN_SUPPLIERS_FULL_DATA")</f>
        <v/>
      </c>
      <c r="GM5">
        <f>BDS("LGND US Equity","SUPPLY_CHAIN_CUSTOMERS_FULL_DATA")</f>
        <v/>
      </c>
      <c r="HC5">
        <f>BDS("2894314Q US Equity","SUPPLY_CHAIN_SUPPLIERS_FULL_DATA")</f>
        <v/>
      </c>
      <c r="HQ5">
        <f>BDS("2894314Q US Equity","SUPPLY_CHAIN_CUSTOMERS_FULL_DATA")</f>
        <v/>
      </c>
      <c r="IG5">
        <f>BDS("9474176Q US Equity","SUPPLY_CHAIN_SUPPLIERS_FULL_DATA")</f>
        <v/>
      </c>
      <c r="IU5">
        <f>BDS("9474176Q US Equity","SUPPLY_CHAIN_CUSTOMERS_FULL_DATA")</f>
        <v/>
      </c>
      <c r="JK5">
        <f>BDS("HNBC US Equity","SUPPLY_CHAIN_SUPPLIERS_FULL_DATA")</f>
        <v/>
      </c>
      <c r="JY5">
        <f>BDS("HNBC US Equity","SUPPLY_CHAIN_CUSTOMERS_FULL_DATA")</f>
        <v/>
      </c>
      <c r="KO5">
        <f>BDS("CLPA US Equity","SUPPLY_CHAIN_SUPPLIERS_FULL_DATA")</f>
        <v/>
      </c>
      <c r="LC5">
        <f>BDS("CLPA US Equity","SUPPLY_CHAIN_CUSTOMERS_FULL_DATA")</f>
        <v/>
      </c>
      <c r="LS5">
        <f>BDS("AOILQ US Equity","SUPPLY_CHAIN_SUPPLIERS_FULL_DATA")</f>
        <v/>
      </c>
      <c r="MG5">
        <f>BDS("AOILQ US Equity","SUPPLY_CHAIN_CUSTOMERS_FULL_DATA")</f>
        <v/>
      </c>
      <c r="MW5">
        <f>BDS("FTNT US Equity","SUPPLY_CHAIN_SUPPLIERS_FULL_DATA")</f>
        <v/>
      </c>
      <c r="NK5">
        <f>BDS("FTNT US Equity","SUPPLY_CHAIN_CUSTOMERS_FULL_DATA")</f>
        <v/>
      </c>
      <c r="OA5">
        <f>BDS("1413542D US Equity","SUPPLY_CHAIN_SUPPLIERS_FULL_DATA")</f>
        <v/>
      </c>
      <c r="OO5">
        <f>BDS("1413542D US Equity","SUPPLY_CHAIN_CUSTOMERS_FULL_DATA")</f>
        <v/>
      </c>
      <c r="PE5">
        <f>BDS("1518080D US Equity","SUPPLY_CHAIN_SUPPLIERS_FULL_DATA")</f>
        <v/>
      </c>
      <c r="PS5">
        <f>BDS("1518080D US Equity","SUPPLY_CHAIN_CUSTOMERS_FULL_DATA")</f>
        <v/>
      </c>
      <c r="QI5">
        <f>BDS("AWBCQ US Equity","SUPPLY_CHAIN_SUPPLIERS_FULL_DATA")</f>
        <v/>
      </c>
      <c r="QW5">
        <f>BDS("AWBCQ US Equity","SUPPLY_CHAIN_CUSTOMERS_FULL_DATA")</f>
        <v/>
      </c>
      <c r="RM5">
        <f>BDS("1500616D US Equity","SUPPLY_CHAIN_SUPPLIERS_FULL_DATA")</f>
        <v/>
      </c>
      <c r="SA5">
        <f>BDS("1500616D US Equity","SUPPLY_CHAIN_CUSTOMERS_FULL_DATA")</f>
        <v/>
      </c>
      <c r="SQ5">
        <f>BDS("VATE US Equity","SUPPLY_CHAIN_SUPPLIERS_FULL_DATA")</f>
        <v/>
      </c>
      <c r="TE5">
        <f>BDS("VATE US Equity","SUPPLY_CHAIN_CUSTOMERS_FULL_DATA")</f>
        <v/>
      </c>
      <c r="TU5">
        <f>BDS("TCF US Equity","SUPPLY_CHAIN_SUPPLIERS_FULL_DATA")</f>
        <v/>
      </c>
      <c r="UI5">
        <f>BDS("TCF US Equity","SUPPLY_CHAIN_CUSTOMERS_FULL_DATA")</f>
        <v/>
      </c>
      <c r="UY5">
        <f>BDS("TDY US Equity","SUPPLY_CHAIN_SUPPLIERS_FULL_DATA")</f>
        <v/>
      </c>
      <c r="VM5">
        <f>BDS("TDY US Equity","SUPPLY_CHAIN_CUSTOMERS_FULL_DATA")</f>
        <v/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4401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4402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4403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4404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4405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4406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4407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4408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4409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4410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4411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4412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4413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4414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4415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4416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4417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4418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4419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4420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FRBA US Equity</t>
        </is>
      </c>
      <c r="AE2" s="3" t="inlineStr">
        <is>
          <t>BPFH US Equity</t>
        </is>
      </c>
      <c r="BI2" s="3" t="inlineStr">
        <is>
          <t>FBA US Equity</t>
        </is>
      </c>
      <c r="CM2" s="3" t="inlineStr">
        <is>
          <t>UVSP US Equity</t>
        </is>
      </c>
      <c r="DQ2" s="3" t="inlineStr">
        <is>
          <t>1740293D US Equity</t>
        </is>
      </c>
      <c r="EU2" s="3" t="inlineStr">
        <is>
          <t>PFE US Equity</t>
        </is>
      </c>
      <c r="FY2" s="3" t="inlineStr">
        <is>
          <t>DHR US Equity</t>
        </is>
      </c>
      <c r="HC2" s="3" t="inlineStr">
        <is>
          <t>CAC US Equity</t>
        </is>
      </c>
      <c r="IG2" s="3" t="inlineStr">
        <is>
          <t>ASYS US Equity</t>
        </is>
      </c>
      <c r="JK2" s="3" t="inlineStr">
        <is>
          <t>BCIC US Equity</t>
        </is>
      </c>
      <c r="KO2" s="3" t="inlineStr">
        <is>
          <t>CTRE US Equity</t>
        </is>
      </c>
      <c r="LS2" s="3" t="inlineStr">
        <is>
          <t>CZNC US Equity</t>
        </is>
      </c>
      <c r="MW2" s="3" t="inlineStr">
        <is>
          <t>PEBO US Equity</t>
        </is>
      </c>
      <c r="OA2" s="3" t="inlineStr">
        <is>
          <t>HTLF US Equity</t>
        </is>
      </c>
      <c r="PE2" s="3" t="inlineStr">
        <is>
          <t>VSH US Equity</t>
        </is>
      </c>
      <c r="QI2" s="3" t="inlineStr">
        <is>
          <t>170874Q US Equity</t>
        </is>
      </c>
      <c r="RM2" s="3" t="inlineStr">
        <is>
          <t>BURCA US Equity</t>
        </is>
      </c>
      <c r="SQ2" s="3" t="inlineStr">
        <is>
          <t>WBS US Equity</t>
        </is>
      </c>
      <c r="TU2" s="3" t="inlineStr">
        <is>
          <t>KTOS US Equity</t>
        </is>
      </c>
      <c r="UY2" s="3" t="inlineStr">
        <is>
          <t>BMTC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BDS("FRBA US Equity","SUPPLY_CHAIN_SUPPLIERS_FULL_DATA")</f>
        <v/>
      </c>
      <c r="O5">
        <f>BDS("FRBA US Equity","SUPPLY_CHAIN_CUSTOMERS_FULL_DATA")</f>
        <v/>
      </c>
      <c r="AE5">
        <f>BDS("BPFH US Equity","SUPPLY_CHAIN_SUPPLIERS_FULL_DATA")</f>
        <v/>
      </c>
      <c r="AS5">
        <f>BDS("BPFH US Equity","SUPPLY_CHAIN_CUSTOMERS_FULL_DATA")</f>
        <v/>
      </c>
      <c r="BI5">
        <f>BDS("FBA US Equity","SUPPLY_CHAIN_SUPPLIERS_FULL_DATA")</f>
        <v/>
      </c>
      <c r="BW5">
        <f>BDS("FBA US Equity","SUPPLY_CHAIN_CUSTOMERS_FULL_DATA")</f>
        <v/>
      </c>
      <c r="CM5">
        <f>BDS("UVSP US Equity","SUPPLY_CHAIN_SUPPLIERS_FULL_DATA")</f>
        <v/>
      </c>
      <c r="DA5">
        <f>BDS("UVSP US Equity","SUPPLY_CHAIN_CUSTOMERS_FULL_DATA")</f>
        <v/>
      </c>
      <c r="DQ5">
        <f>BDS("1740293D US Equity","SUPPLY_CHAIN_SUPPLIERS_FULL_DATA")</f>
        <v/>
      </c>
      <c r="EE5">
        <f>BDS("1740293D US Equity","SUPPLY_CHAIN_CUSTOMERS_FULL_DATA")</f>
        <v/>
      </c>
      <c r="EU5">
        <f>BDS("PFE US Equity","SUPPLY_CHAIN_SUPPLIERS_FULL_DATA")</f>
        <v/>
      </c>
      <c r="FI5">
        <f>BDS("PFE US Equity","SUPPLY_CHAIN_CUSTOMERS_FULL_DATA")</f>
        <v/>
      </c>
      <c r="FY5">
        <f>BDS("DHR US Equity","SUPPLY_CHAIN_SUPPLIERS_FULL_DATA")</f>
        <v/>
      </c>
      <c r="GM5">
        <f>BDS("DHR US Equity","SUPPLY_CHAIN_CUSTOMERS_FULL_DATA")</f>
        <v/>
      </c>
      <c r="HC5">
        <f>BDS("CAC US Equity","SUPPLY_CHAIN_SUPPLIERS_FULL_DATA")</f>
        <v/>
      </c>
      <c r="HQ5">
        <f>BDS("CAC US Equity","SUPPLY_CHAIN_CUSTOMERS_FULL_DATA")</f>
        <v/>
      </c>
      <c r="IG5">
        <f>BDS("ASYS US Equity","SUPPLY_CHAIN_SUPPLIERS_FULL_DATA")</f>
        <v/>
      </c>
      <c r="IU5">
        <f>BDS("ASYS US Equity","SUPPLY_CHAIN_CUSTOMERS_FULL_DATA")</f>
        <v/>
      </c>
      <c r="JK5">
        <f>BDS("BCIC US Equity","SUPPLY_CHAIN_SUPPLIERS_FULL_DATA")</f>
        <v/>
      </c>
      <c r="JY5">
        <f>BDS("BCIC US Equity","SUPPLY_CHAIN_CUSTOMERS_FULL_DATA")</f>
        <v/>
      </c>
      <c r="KO5">
        <f>BDS("CTRE US Equity","SUPPLY_CHAIN_SUPPLIERS_FULL_DATA")</f>
        <v/>
      </c>
      <c r="LC5">
        <f>BDS("CTRE US Equity","SUPPLY_CHAIN_CUSTOMERS_FULL_DATA")</f>
        <v/>
      </c>
      <c r="LS5">
        <f>BDS("CZNC US Equity","SUPPLY_CHAIN_SUPPLIERS_FULL_DATA")</f>
        <v/>
      </c>
      <c r="MG5">
        <f>BDS("CZNC US Equity","SUPPLY_CHAIN_CUSTOMERS_FULL_DATA")</f>
        <v/>
      </c>
      <c r="MW5">
        <f>BDS("PEBO US Equity","SUPPLY_CHAIN_SUPPLIERS_FULL_DATA")</f>
        <v/>
      </c>
      <c r="NK5">
        <f>BDS("PEBO US Equity","SUPPLY_CHAIN_CUSTOMERS_FULL_DATA")</f>
        <v/>
      </c>
      <c r="OA5">
        <f>BDS("HTLF US Equity","SUPPLY_CHAIN_SUPPLIERS_FULL_DATA")</f>
        <v/>
      </c>
      <c r="OO5">
        <f>BDS("HTLF US Equity","SUPPLY_CHAIN_CUSTOMERS_FULL_DATA")</f>
        <v/>
      </c>
      <c r="PE5">
        <f>BDS("VSH US Equity","SUPPLY_CHAIN_SUPPLIERS_FULL_DATA")</f>
        <v/>
      </c>
      <c r="PS5">
        <f>BDS("VSH US Equity","SUPPLY_CHAIN_CUSTOMERS_FULL_DATA")</f>
        <v/>
      </c>
      <c r="QI5">
        <f>BDS("170874Q US Equity","SUPPLY_CHAIN_SUPPLIERS_FULL_DATA")</f>
        <v/>
      </c>
      <c r="QW5">
        <f>BDS("170874Q US Equity","SUPPLY_CHAIN_CUSTOMERS_FULL_DATA")</f>
        <v/>
      </c>
      <c r="RM5">
        <f>BDS("BURCA US Equity","SUPPLY_CHAIN_SUPPLIERS_FULL_DATA")</f>
        <v/>
      </c>
      <c r="SA5">
        <f>BDS("BURCA US Equity","SUPPLY_CHAIN_CUSTOMERS_FULL_DATA")</f>
        <v/>
      </c>
      <c r="SQ5">
        <f>BDS("WBS US Equity","SUPPLY_CHAIN_SUPPLIERS_FULL_DATA")</f>
        <v/>
      </c>
      <c r="TE5">
        <f>BDS("WBS US Equity","SUPPLY_CHAIN_CUSTOMERS_FULL_DATA")</f>
        <v/>
      </c>
      <c r="TU5">
        <f>BDS("KTOS US Equity","SUPPLY_CHAIN_SUPPLIERS_FULL_DATA")</f>
        <v/>
      </c>
      <c r="UI5">
        <f>BDS("KTOS US Equity","SUPPLY_CHAIN_CUSTOMERS_FULL_DATA")</f>
        <v/>
      </c>
      <c r="UY5">
        <f>BDS("BMTC US Equity","SUPPLY_CHAIN_SUPPLIERS_FULL_DATA")</f>
        <v/>
      </c>
      <c r="VM5">
        <f>BDS("BMTC US Equity","SUPPLY_CHAIN_CUSTOMERS_FULL_DATA")</f>
        <v/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4421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4422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4423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4424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4425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4426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4427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4428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4429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4430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4431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4432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4433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4434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4435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4436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4437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4438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4439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4440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1022726D US Equity</t>
        </is>
      </c>
      <c r="AE2" s="3" t="inlineStr">
        <is>
          <t>WBS US Equity</t>
        </is>
      </c>
      <c r="BI2" s="3" t="inlineStr">
        <is>
          <t>107436Q US Equity</t>
        </is>
      </c>
      <c r="CM2" s="3" t="inlineStr">
        <is>
          <t>UNTD US Equity</t>
        </is>
      </c>
      <c r="DQ2" s="3" t="inlineStr">
        <is>
          <t>UFCS US Equity</t>
        </is>
      </c>
      <c r="EU2" s="3" t="inlineStr">
        <is>
          <t>BUSE US Equity</t>
        </is>
      </c>
      <c r="FY2" s="3" t="inlineStr">
        <is>
          <t>PBOC US Equity</t>
        </is>
      </c>
      <c r="HC2" s="3" t="inlineStr">
        <is>
          <t>229195Q US Equity</t>
        </is>
      </c>
      <c r="IG2" s="3" t="inlineStr">
        <is>
          <t>PHWDQ US Equity</t>
        </is>
      </c>
      <c r="JK2" s="3" t="inlineStr">
        <is>
          <t>FCF US Equity</t>
        </is>
      </c>
      <c r="KO2" s="3" t="inlineStr">
        <is>
          <t>SAKL US Equity</t>
        </is>
      </c>
      <c r="LS2" s="3" t="inlineStr">
        <is>
          <t>CMBC US Equity</t>
        </is>
      </c>
      <c r="MW2" s="3" t="inlineStr">
        <is>
          <t>FSCO US Equity</t>
        </is>
      </c>
      <c r="OA2" s="3" t="inlineStr">
        <is>
          <t>BOKF US Equity</t>
        </is>
      </c>
      <c r="PE2" s="3" t="inlineStr">
        <is>
          <t>FTFC US Equity</t>
        </is>
      </c>
      <c r="QI2" s="3" t="inlineStr">
        <is>
          <t>PCBC US Equity</t>
        </is>
      </c>
      <c r="RM2" s="3" t="inlineStr">
        <is>
          <t>TEUM US Equity</t>
        </is>
      </c>
      <c r="SQ2" s="3" t="inlineStr">
        <is>
          <t>IDTI US Equity</t>
        </is>
      </c>
      <c r="TU2" s="3" t="inlineStr">
        <is>
          <t>IDT US Equity</t>
        </is>
      </c>
      <c r="UY2" s="3" t="inlineStr">
        <is>
          <t>GWR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BDS("1022726D US Equity","SUPPLY_CHAIN_SUPPLIERS_FULL_DATA")</f>
        <v/>
      </c>
      <c r="O5">
        <f>BDS("1022726D US Equity","SUPPLY_CHAIN_CUSTOMERS_FULL_DATA")</f>
        <v/>
      </c>
      <c r="AE5">
        <f>BDS("WBS US Equity","SUPPLY_CHAIN_SUPPLIERS_FULL_DATA")</f>
        <v/>
      </c>
      <c r="AS5">
        <f>BDS("WBS US Equity","SUPPLY_CHAIN_CUSTOMERS_FULL_DATA")</f>
        <v/>
      </c>
      <c r="BI5">
        <f>BDS("107436Q US Equity","SUPPLY_CHAIN_SUPPLIERS_FULL_DATA")</f>
        <v/>
      </c>
      <c r="BW5">
        <f>BDS("107436Q US Equity","SUPPLY_CHAIN_CUSTOMERS_FULL_DATA")</f>
        <v/>
      </c>
      <c r="CM5">
        <f>BDS("UNTD US Equity","SUPPLY_CHAIN_SUPPLIERS_FULL_DATA")</f>
        <v/>
      </c>
      <c r="DA5">
        <f>BDS("UNTD US Equity","SUPPLY_CHAIN_CUSTOMERS_FULL_DATA")</f>
        <v/>
      </c>
      <c r="DQ5">
        <f>BDS("UFCS US Equity","SUPPLY_CHAIN_SUPPLIERS_FULL_DATA")</f>
        <v/>
      </c>
      <c r="EE5">
        <f>BDS("UFCS US Equity","SUPPLY_CHAIN_CUSTOMERS_FULL_DATA")</f>
        <v/>
      </c>
      <c r="EU5">
        <f>BDS("BUSE US Equity","SUPPLY_CHAIN_SUPPLIERS_FULL_DATA")</f>
        <v/>
      </c>
      <c r="FI5">
        <f>BDS("BUSE US Equity","SUPPLY_CHAIN_CUSTOMERS_FULL_DATA")</f>
        <v/>
      </c>
      <c r="FY5">
        <f>BDS("PBOC US Equity","SUPPLY_CHAIN_SUPPLIERS_FULL_DATA")</f>
        <v/>
      </c>
      <c r="GM5">
        <f>BDS("PBOC US Equity","SUPPLY_CHAIN_CUSTOMERS_FULL_DATA")</f>
        <v/>
      </c>
      <c r="HC5">
        <f>BDS("229195Q US Equity","SUPPLY_CHAIN_SUPPLIERS_FULL_DATA")</f>
        <v/>
      </c>
      <c r="HQ5">
        <f>BDS("229195Q US Equity","SUPPLY_CHAIN_CUSTOMERS_FULL_DATA")</f>
        <v/>
      </c>
      <c r="IG5">
        <f>BDS("PHWDQ US Equity","SUPPLY_CHAIN_SUPPLIERS_FULL_DATA")</f>
        <v/>
      </c>
      <c r="IU5">
        <f>BDS("PHWDQ US Equity","SUPPLY_CHAIN_CUSTOMERS_FULL_DATA")</f>
        <v/>
      </c>
      <c r="JK5">
        <f>BDS("FCF US Equity","SUPPLY_CHAIN_SUPPLIERS_FULL_DATA")</f>
        <v/>
      </c>
      <c r="JY5">
        <f>BDS("FCF US Equity","SUPPLY_CHAIN_CUSTOMERS_FULL_DATA")</f>
        <v/>
      </c>
      <c r="KO5">
        <f>BDS("SAKL US Equity","SUPPLY_CHAIN_SUPPLIERS_FULL_DATA")</f>
        <v/>
      </c>
      <c r="LC5">
        <f>BDS("SAKL US Equity","SUPPLY_CHAIN_CUSTOMERS_FULL_DATA")</f>
        <v/>
      </c>
      <c r="LS5">
        <f>BDS("CMBC US Equity","SUPPLY_CHAIN_SUPPLIERS_FULL_DATA")</f>
        <v/>
      </c>
      <c r="MG5">
        <f>BDS("CMBC US Equity","SUPPLY_CHAIN_CUSTOMERS_FULL_DATA")</f>
        <v/>
      </c>
      <c r="MW5">
        <f>BDS("FSCO US Equity","SUPPLY_CHAIN_SUPPLIERS_FULL_DATA")</f>
        <v/>
      </c>
      <c r="NK5">
        <f>BDS("FSCO US Equity","SUPPLY_CHAIN_CUSTOMERS_FULL_DATA")</f>
        <v/>
      </c>
      <c r="OA5">
        <f>BDS("BOKF US Equity","SUPPLY_CHAIN_SUPPLIERS_FULL_DATA")</f>
        <v/>
      </c>
      <c r="OO5">
        <f>BDS("BOKF US Equity","SUPPLY_CHAIN_CUSTOMERS_FULL_DATA")</f>
        <v/>
      </c>
      <c r="PE5">
        <f>BDS("FTFC US Equity","SUPPLY_CHAIN_SUPPLIERS_FULL_DATA")</f>
        <v/>
      </c>
      <c r="PS5">
        <f>BDS("FTFC US Equity","SUPPLY_CHAIN_CUSTOMERS_FULL_DATA")</f>
        <v/>
      </c>
      <c r="QI5">
        <f>BDS("PCBC US Equity","SUPPLY_CHAIN_SUPPLIERS_FULL_DATA")</f>
        <v/>
      </c>
      <c r="QW5">
        <f>BDS("PCBC US Equity","SUPPLY_CHAIN_CUSTOMERS_FULL_DATA")</f>
        <v/>
      </c>
      <c r="RM5">
        <f>BDS("TEUM US Equity","SUPPLY_CHAIN_SUPPLIERS_FULL_DATA")</f>
        <v/>
      </c>
      <c r="SA5">
        <f>BDS("TEUM US Equity","SUPPLY_CHAIN_CUSTOMERS_FULL_DATA")</f>
        <v/>
      </c>
      <c r="SQ5">
        <f>BDS("IDTI US Equity","SUPPLY_CHAIN_SUPPLIERS_FULL_DATA")</f>
        <v/>
      </c>
      <c r="TE5">
        <f>BDS("IDTI US Equity","SUPPLY_CHAIN_CUSTOMERS_FULL_DATA")</f>
        <v/>
      </c>
      <c r="TU5">
        <f>BDS("IDT US Equity","SUPPLY_CHAIN_SUPPLIERS_FULL_DATA")</f>
        <v/>
      </c>
      <c r="UI5">
        <f>BDS("IDT US Equity","SUPPLY_CHAIN_CUSTOMERS_FULL_DATA")</f>
        <v/>
      </c>
      <c r="UY5">
        <f>BDS("GWR US Equity","SUPPLY_CHAIN_SUPPLIERS_FULL_DATA")</f>
        <v/>
      </c>
      <c r="VM5">
        <f>BDS("GWR US Equity","SUPPLY_CHAIN_CUSTOMERS_FULL_DATA")</f>
        <v/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4441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4442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4443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4444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4445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4446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4447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4448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4449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4450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4451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4452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4453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4454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4455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4456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4457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4458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4459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4460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ACPIQ US Equity</t>
        </is>
      </c>
      <c r="AE2" s="3" t="inlineStr">
        <is>
          <t>304352Q US Equity</t>
        </is>
      </c>
      <c r="BI2" s="3" t="inlineStr">
        <is>
          <t>COFS US Equity</t>
        </is>
      </c>
      <c r="CM2" s="3" t="inlineStr">
        <is>
          <t>STL US Equity</t>
        </is>
      </c>
      <c r="DQ2" s="3" t="inlineStr">
        <is>
          <t>EVRI US Equity</t>
        </is>
      </c>
      <c r="EU2" s="3" t="inlineStr">
        <is>
          <t>3542013Q US Equity</t>
        </is>
      </c>
      <c r="FY2" s="3" t="inlineStr">
        <is>
          <t>MNKTQ US Equity</t>
        </is>
      </c>
      <c r="HC2" s="3" t="inlineStr">
        <is>
          <t>1919709D US Equity</t>
        </is>
      </c>
      <c r="IG2" s="3" t="inlineStr">
        <is>
          <t>CMHDA US Equity</t>
        </is>
      </c>
      <c r="JK2" s="3" t="inlineStr">
        <is>
          <t>LGND US Equity</t>
        </is>
      </c>
      <c r="KO2" s="3" t="inlineStr">
        <is>
          <t>STMH US Equity</t>
        </is>
      </c>
      <c r="LS2" s="3" t="inlineStr">
        <is>
          <t>FCBC US Equity</t>
        </is>
      </c>
      <c r="MW2" s="3" t="inlineStr">
        <is>
          <t>BAC US Equity</t>
        </is>
      </c>
      <c r="OA2" s="3" t="inlineStr">
        <is>
          <t>FFSX US Equity</t>
        </is>
      </c>
      <c r="PE2" s="3" t="inlineStr">
        <is>
          <t>2071296D US Equity</t>
        </is>
      </c>
      <c r="QI2" s="3" t="inlineStr">
        <is>
          <t>LFGRQ US Equity</t>
        </is>
      </c>
      <c r="RM2" s="3" t="inlineStr">
        <is>
          <t>BBT US Equity</t>
        </is>
      </c>
      <c r="SQ2" s="3" t="inlineStr">
        <is>
          <t>2636831Q US Equity</t>
        </is>
      </c>
      <c r="TU2" s="3" t="inlineStr">
        <is>
          <t>724309Q US Equity</t>
        </is>
      </c>
      <c r="UY2" s="3" t="inlineStr">
        <is>
          <t>LUCK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BDS("ACPIQ US Equity","SUPPLY_CHAIN_SUPPLIERS_FULL_DATA")</f>
        <v/>
      </c>
      <c r="O5">
        <f>BDS("ACPIQ US Equity","SUPPLY_CHAIN_CUSTOMERS_FULL_DATA")</f>
        <v/>
      </c>
      <c r="AE5">
        <f>BDS("304352Q US Equity","SUPPLY_CHAIN_SUPPLIERS_FULL_DATA")</f>
        <v/>
      </c>
      <c r="AS5">
        <f>BDS("304352Q US Equity","SUPPLY_CHAIN_CUSTOMERS_FULL_DATA")</f>
        <v/>
      </c>
      <c r="BI5">
        <f>BDS("COFS US Equity","SUPPLY_CHAIN_SUPPLIERS_FULL_DATA")</f>
        <v/>
      </c>
      <c r="BW5">
        <f>BDS("COFS US Equity","SUPPLY_CHAIN_CUSTOMERS_FULL_DATA")</f>
        <v/>
      </c>
      <c r="CM5">
        <f>BDS("STL US Equity","SUPPLY_CHAIN_SUPPLIERS_FULL_DATA")</f>
        <v/>
      </c>
      <c r="DA5">
        <f>BDS("STL US Equity","SUPPLY_CHAIN_CUSTOMERS_FULL_DATA")</f>
        <v/>
      </c>
      <c r="DQ5">
        <f>BDS("EVRI US Equity","SUPPLY_CHAIN_SUPPLIERS_FULL_DATA")</f>
        <v/>
      </c>
      <c r="EE5">
        <f>BDS("EVRI US Equity","SUPPLY_CHAIN_CUSTOMERS_FULL_DATA")</f>
        <v/>
      </c>
      <c r="EU5">
        <f>BDS("3542013Q US Equity","SUPPLY_CHAIN_SUPPLIERS_FULL_DATA")</f>
        <v/>
      </c>
      <c r="FI5">
        <f>BDS("3542013Q US Equity","SUPPLY_CHAIN_CUSTOMERS_FULL_DATA")</f>
        <v/>
      </c>
      <c r="FY5">
        <f>BDS("MNKTQ US Equity","SUPPLY_CHAIN_SUPPLIERS_FULL_DATA")</f>
        <v/>
      </c>
      <c r="GM5">
        <f>BDS("MNKTQ US Equity","SUPPLY_CHAIN_CUSTOMERS_FULL_DATA")</f>
        <v/>
      </c>
      <c r="HC5">
        <f>BDS("1919709D US Equity","SUPPLY_CHAIN_SUPPLIERS_FULL_DATA")</f>
        <v/>
      </c>
      <c r="HQ5">
        <f>BDS("1919709D US Equity","SUPPLY_CHAIN_CUSTOMERS_FULL_DATA")</f>
        <v/>
      </c>
      <c r="IG5">
        <f>BDS("CMHDA US Equity","SUPPLY_CHAIN_SUPPLIERS_FULL_DATA")</f>
        <v/>
      </c>
      <c r="IU5">
        <f>BDS("CMHDA US Equity","SUPPLY_CHAIN_CUSTOMERS_FULL_DATA")</f>
        <v/>
      </c>
      <c r="JK5">
        <f>BDS("LGND US Equity","SUPPLY_CHAIN_SUPPLIERS_FULL_DATA")</f>
        <v/>
      </c>
      <c r="JY5">
        <f>BDS("LGND US Equity","SUPPLY_CHAIN_CUSTOMERS_FULL_DATA")</f>
        <v/>
      </c>
      <c r="KO5">
        <f>BDS("STMH US Equity","SUPPLY_CHAIN_SUPPLIERS_FULL_DATA")</f>
        <v/>
      </c>
      <c r="LC5">
        <f>BDS("STMH US Equity","SUPPLY_CHAIN_CUSTOMERS_FULL_DATA")</f>
        <v/>
      </c>
      <c r="LS5">
        <f>BDS("FCBC US Equity","SUPPLY_CHAIN_SUPPLIERS_FULL_DATA")</f>
        <v/>
      </c>
      <c r="MG5">
        <f>BDS("FCBC US Equity","SUPPLY_CHAIN_CUSTOMERS_FULL_DATA")</f>
        <v/>
      </c>
      <c r="MW5">
        <f>BDS("BAC US Equity","SUPPLY_CHAIN_SUPPLIERS_FULL_DATA")</f>
        <v/>
      </c>
      <c r="NK5">
        <f>BDS("BAC US Equity","SUPPLY_CHAIN_CUSTOMERS_FULL_DATA")</f>
        <v/>
      </c>
      <c r="OA5">
        <f>BDS("FFSX US Equity","SUPPLY_CHAIN_SUPPLIERS_FULL_DATA")</f>
        <v/>
      </c>
      <c r="OO5">
        <f>BDS("FFSX US Equity","SUPPLY_CHAIN_CUSTOMERS_FULL_DATA")</f>
        <v/>
      </c>
      <c r="PE5">
        <f>BDS("2071296D US Equity","SUPPLY_CHAIN_SUPPLIERS_FULL_DATA")</f>
        <v/>
      </c>
      <c r="PS5">
        <f>BDS("2071296D US Equity","SUPPLY_CHAIN_CUSTOMERS_FULL_DATA")</f>
        <v/>
      </c>
      <c r="QI5">
        <f>BDS("LFGRQ US Equity","SUPPLY_CHAIN_SUPPLIERS_FULL_DATA")</f>
        <v/>
      </c>
      <c r="QW5">
        <f>BDS("LFGRQ US Equity","SUPPLY_CHAIN_CUSTOMERS_FULL_DATA")</f>
        <v/>
      </c>
      <c r="RM5">
        <f>BDS("BBT US Equity","SUPPLY_CHAIN_SUPPLIERS_FULL_DATA")</f>
        <v/>
      </c>
      <c r="SA5">
        <f>BDS("BBT US Equity","SUPPLY_CHAIN_CUSTOMERS_FULL_DATA")</f>
        <v/>
      </c>
      <c r="SQ5">
        <f>BDS("2636831Q US Equity","SUPPLY_CHAIN_SUPPLIERS_FULL_DATA")</f>
        <v/>
      </c>
      <c r="TE5">
        <f>BDS("2636831Q US Equity","SUPPLY_CHAIN_CUSTOMERS_FULL_DATA")</f>
        <v/>
      </c>
      <c r="TU5">
        <f>BDS("724309Q US Equity","SUPPLY_CHAIN_SUPPLIERS_FULL_DATA")</f>
        <v/>
      </c>
      <c r="UI5">
        <f>BDS("724309Q US Equity","SUPPLY_CHAIN_CUSTOMERS_FULL_DATA")</f>
        <v/>
      </c>
      <c r="UY5">
        <f>BDS("LUCK US Equity","SUPPLY_CHAIN_SUPPLIERS_FULL_DATA")</f>
        <v/>
      </c>
      <c r="VM5">
        <f>BDS("LUCK US Equity","SUPPLY_CHAIN_CUSTOMERS_FULL_DATA")</f>
        <v/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4461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4462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4463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4464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4465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4466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4467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4468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4469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4470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4471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4472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4473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4474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4475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4476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4477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4478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4479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4480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ATBA AV Equity</t>
        </is>
      </c>
      <c r="AE2" s="3" t="inlineStr">
        <is>
          <t>PRK US Equity</t>
        </is>
      </c>
      <c r="BI2" s="3" t="inlineStr">
        <is>
          <t>OPAY US Equity</t>
        </is>
      </c>
      <c r="CM2" s="3" t="inlineStr">
        <is>
          <t>SSB US Equity</t>
        </is>
      </c>
      <c r="DQ2" s="3" t="inlineStr">
        <is>
          <t>CLKS US Equity</t>
        </is>
      </c>
      <c r="EU2" s="3" t="inlineStr">
        <is>
          <t>SBN US Equity</t>
        </is>
      </c>
      <c r="FY2" s="3" t="inlineStr">
        <is>
          <t>RPTP US Equity</t>
        </is>
      </c>
      <c r="HC2" s="3" t="inlineStr">
        <is>
          <t>ANIP US Equity</t>
        </is>
      </c>
      <c r="IG2" s="3" t="inlineStr">
        <is>
          <t>BHC CN Equity</t>
        </is>
      </c>
      <c r="JK2" s="3" t="inlineStr">
        <is>
          <t>PREM US Equity</t>
        </is>
      </c>
      <c r="KO2" s="3" t="inlineStr">
        <is>
          <t>FCCO US Equity</t>
        </is>
      </c>
      <c r="LS2" s="3" t="inlineStr">
        <is>
          <t>BNCL US Equity</t>
        </is>
      </c>
      <c r="MW2" s="3" t="inlineStr">
        <is>
          <t>CVBF US Equity</t>
        </is>
      </c>
      <c r="OA2" s="3" t="inlineStr">
        <is>
          <t>215254Q US Equity</t>
        </is>
      </c>
      <c r="PE2" s="3" t="inlineStr">
        <is>
          <t>KODK US Equity</t>
        </is>
      </c>
      <c r="QI2" s="3" t="inlineStr">
        <is>
          <t>COBZ US Equity</t>
        </is>
      </c>
      <c r="RM2" s="3" t="inlineStr">
        <is>
          <t>1619175D US Equity</t>
        </is>
      </c>
      <c r="SQ2" s="3" t="inlineStr">
        <is>
          <t>MSI US Equity</t>
        </is>
      </c>
      <c r="TU2" s="3" t="inlineStr">
        <is>
          <t>YDKN US Equity</t>
        </is>
      </c>
      <c r="UY2" s="3" t="inlineStr">
        <is>
          <t>CVBF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BDS("ATBA AV Equity","SUPPLY_CHAIN_SUPPLIERS_FULL_DATA")</f>
        <v/>
      </c>
      <c r="O5">
        <f>BDS("ATBA AV Equity","SUPPLY_CHAIN_CUSTOMERS_FULL_DATA")</f>
        <v/>
      </c>
      <c r="AE5">
        <f>BDS("PRK US Equity","SUPPLY_CHAIN_SUPPLIERS_FULL_DATA")</f>
        <v/>
      </c>
      <c r="AS5">
        <f>BDS("PRK US Equity","SUPPLY_CHAIN_CUSTOMERS_FULL_DATA")</f>
        <v/>
      </c>
      <c r="BI5">
        <f>BDS("OPAY US Equity","SUPPLY_CHAIN_SUPPLIERS_FULL_DATA")</f>
        <v/>
      </c>
      <c r="BW5">
        <f>BDS("OPAY US Equity","SUPPLY_CHAIN_CUSTOMERS_FULL_DATA")</f>
        <v/>
      </c>
      <c r="CM5">
        <f>BDS("SSB US Equity","SUPPLY_CHAIN_SUPPLIERS_FULL_DATA")</f>
        <v/>
      </c>
      <c r="DA5">
        <f>BDS("SSB US Equity","SUPPLY_CHAIN_CUSTOMERS_FULL_DATA")</f>
        <v/>
      </c>
      <c r="DQ5">
        <f>BDS("CLKS US Equity","SUPPLY_CHAIN_SUPPLIERS_FULL_DATA")</f>
        <v/>
      </c>
      <c r="EE5">
        <f>BDS("CLKS US Equity","SUPPLY_CHAIN_CUSTOMERS_FULL_DATA")</f>
        <v/>
      </c>
      <c r="EU5">
        <f>BDS("SBN US Equity","SUPPLY_CHAIN_SUPPLIERS_FULL_DATA")</f>
        <v/>
      </c>
      <c r="FI5">
        <f>BDS("SBN US Equity","SUPPLY_CHAIN_CUSTOMERS_FULL_DATA")</f>
        <v/>
      </c>
      <c r="FY5">
        <f>BDS("RPTP US Equity","SUPPLY_CHAIN_SUPPLIERS_FULL_DATA")</f>
        <v/>
      </c>
      <c r="GM5">
        <f>BDS("RPTP US Equity","SUPPLY_CHAIN_CUSTOMERS_FULL_DATA")</f>
        <v/>
      </c>
      <c r="HC5">
        <f>BDS("ANIP US Equity","SUPPLY_CHAIN_SUPPLIERS_FULL_DATA")</f>
        <v/>
      </c>
      <c r="HQ5">
        <f>BDS("ANIP US Equity","SUPPLY_CHAIN_CUSTOMERS_FULL_DATA")</f>
        <v/>
      </c>
      <c r="IG5">
        <f>BDS("BHC CN Equity","SUPPLY_CHAIN_SUPPLIERS_FULL_DATA")</f>
        <v/>
      </c>
      <c r="IU5">
        <f>BDS("BHC CN Equity","SUPPLY_CHAIN_CUSTOMERS_FULL_DATA")</f>
        <v/>
      </c>
      <c r="JK5">
        <f>BDS("PREM US Equity","SUPPLY_CHAIN_SUPPLIERS_FULL_DATA")</f>
        <v/>
      </c>
      <c r="JY5">
        <f>BDS("PREM US Equity","SUPPLY_CHAIN_CUSTOMERS_FULL_DATA")</f>
        <v/>
      </c>
      <c r="KO5">
        <f>BDS("FCCO US Equity","SUPPLY_CHAIN_SUPPLIERS_FULL_DATA")</f>
        <v/>
      </c>
      <c r="LC5">
        <f>BDS("FCCO US Equity","SUPPLY_CHAIN_CUSTOMERS_FULL_DATA")</f>
        <v/>
      </c>
      <c r="LS5">
        <f>BDS("BNCL US Equity","SUPPLY_CHAIN_SUPPLIERS_FULL_DATA")</f>
        <v/>
      </c>
      <c r="MG5">
        <f>BDS("BNCL US Equity","SUPPLY_CHAIN_CUSTOMERS_FULL_DATA")</f>
        <v/>
      </c>
      <c r="MW5">
        <f>BDS("CVBF US Equity","SUPPLY_CHAIN_SUPPLIERS_FULL_DATA")</f>
        <v/>
      </c>
      <c r="NK5">
        <f>BDS("CVBF US Equity","SUPPLY_CHAIN_CUSTOMERS_FULL_DATA")</f>
        <v/>
      </c>
      <c r="OA5">
        <f>BDS("215254Q US Equity","SUPPLY_CHAIN_SUPPLIERS_FULL_DATA")</f>
        <v/>
      </c>
      <c r="OO5">
        <f>BDS("215254Q US Equity","SUPPLY_CHAIN_CUSTOMERS_FULL_DATA")</f>
        <v/>
      </c>
      <c r="PE5">
        <f>BDS("KODK US Equity","SUPPLY_CHAIN_SUPPLIERS_FULL_DATA")</f>
        <v/>
      </c>
      <c r="PS5">
        <f>BDS("KODK US Equity","SUPPLY_CHAIN_CUSTOMERS_FULL_DATA")</f>
        <v/>
      </c>
      <c r="QI5">
        <f>BDS("COBZ US Equity","SUPPLY_CHAIN_SUPPLIERS_FULL_DATA")</f>
        <v/>
      </c>
      <c r="QW5">
        <f>BDS("COBZ US Equity","SUPPLY_CHAIN_CUSTOMERS_FULL_DATA")</f>
        <v/>
      </c>
      <c r="RM5">
        <f>BDS("1619175D US Equity","SUPPLY_CHAIN_SUPPLIERS_FULL_DATA")</f>
        <v/>
      </c>
      <c r="SA5">
        <f>BDS("1619175D US Equity","SUPPLY_CHAIN_CUSTOMERS_FULL_DATA")</f>
        <v/>
      </c>
      <c r="SQ5">
        <f>BDS("MSI US Equity","SUPPLY_CHAIN_SUPPLIERS_FULL_DATA")</f>
        <v/>
      </c>
      <c r="TE5">
        <f>BDS("MSI US Equity","SUPPLY_CHAIN_CUSTOMERS_FULL_DATA")</f>
        <v/>
      </c>
      <c r="TU5">
        <f>BDS("YDKN US Equity","SUPPLY_CHAIN_SUPPLIERS_FULL_DATA")</f>
        <v/>
      </c>
      <c r="UI5">
        <f>BDS("YDKN US Equity","SUPPLY_CHAIN_CUSTOMERS_FULL_DATA")</f>
        <v/>
      </c>
      <c r="UY5">
        <f>BDS("CVBF US Equity","SUPPLY_CHAIN_SUPPLIERS_FULL_DATA")</f>
        <v/>
      </c>
      <c r="VM5">
        <f>BDS("CVBF US Equity","SUPPLY_CHAIN_CUSTOMERS_FULL_DATA")</f>
        <v/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4481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4482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4483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4484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4485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4486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4487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4488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4489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4490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4491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4492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4493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4494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4495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4496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4497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4498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4499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4500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FCLF US Equity</t>
        </is>
      </c>
      <c r="AE2" s="3" t="inlineStr">
        <is>
          <t>CMTV US Equity</t>
        </is>
      </c>
      <c r="BI2" s="3" t="inlineStr">
        <is>
          <t>HBK US Equity</t>
        </is>
      </c>
      <c r="CM2" s="3" t="inlineStr">
        <is>
          <t>8144537Q US Equity</t>
        </is>
      </c>
      <c r="DQ2" s="3" t="inlineStr">
        <is>
          <t>1436513D US Equity</t>
        </is>
      </c>
      <c r="EU2" s="3" t="inlineStr">
        <is>
          <t>HU US Equity</t>
        </is>
      </c>
      <c r="FY2" s="3" t="inlineStr">
        <is>
          <t>HBCP US Equity</t>
        </is>
      </c>
      <c r="HC2" s="3" t="inlineStr">
        <is>
          <t>IXYS US Equity</t>
        </is>
      </c>
      <c r="IG2" s="3" t="inlineStr">
        <is>
          <t>GE US Equity</t>
        </is>
      </c>
      <c r="JK2" s="3" t="inlineStr">
        <is>
          <t>BNCN US Equity</t>
        </is>
      </c>
      <c r="KO2" s="3" t="inlineStr">
        <is>
          <t>MSCC US Equity</t>
        </is>
      </c>
      <c r="LS2" s="3" t="inlineStr">
        <is>
          <t>SFNC US Equity</t>
        </is>
      </c>
      <c r="MW2" s="3" t="inlineStr">
        <is>
          <t>LHX US Equity</t>
        </is>
      </c>
      <c r="OA2" s="3" t="inlineStr">
        <is>
          <t>VIZY US Equity</t>
        </is>
      </c>
      <c r="PE2" s="3" t="inlineStr">
        <is>
          <t>BCAL US Equity</t>
        </is>
      </c>
      <c r="QI2" s="3" t="inlineStr">
        <is>
          <t>CHCO US Equity</t>
        </is>
      </c>
      <c r="RM2" s="3" t="inlineStr">
        <is>
          <t>NEBS US Equity</t>
        </is>
      </c>
      <c r="SQ2" s="3" t="inlineStr">
        <is>
          <t>HTBK US Equity</t>
        </is>
      </c>
      <c r="TU2" s="3" t="inlineStr">
        <is>
          <t>0897262D US Equity</t>
        </is>
      </c>
      <c r="UY2" s="3" t="inlineStr">
        <is>
          <t>VFC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BDS("FCLF US Equity","SUPPLY_CHAIN_SUPPLIERS_FULL_DATA")</f>
        <v/>
      </c>
      <c r="O5">
        <f>BDS("FCLF US Equity","SUPPLY_CHAIN_CUSTOMERS_FULL_DATA")</f>
        <v/>
      </c>
      <c r="AE5">
        <f>BDS("CMTV US Equity","SUPPLY_CHAIN_SUPPLIERS_FULL_DATA")</f>
        <v/>
      </c>
      <c r="AS5">
        <f>BDS("CMTV US Equity","SUPPLY_CHAIN_CUSTOMERS_FULL_DATA")</f>
        <v/>
      </c>
      <c r="BI5">
        <f>BDS("HBK US Equity","SUPPLY_CHAIN_SUPPLIERS_FULL_DATA")</f>
        <v/>
      </c>
      <c r="BW5">
        <f>BDS("HBK US Equity","SUPPLY_CHAIN_CUSTOMERS_FULL_DATA")</f>
        <v/>
      </c>
      <c r="CM5">
        <f>BDS("8144537Q US Equity","SUPPLY_CHAIN_SUPPLIERS_FULL_DATA")</f>
        <v/>
      </c>
      <c r="DA5">
        <f>BDS("8144537Q US Equity","SUPPLY_CHAIN_CUSTOMERS_FULL_DATA")</f>
        <v/>
      </c>
      <c r="DQ5">
        <f>BDS("1436513D US Equity","SUPPLY_CHAIN_SUPPLIERS_FULL_DATA")</f>
        <v/>
      </c>
      <c r="EE5">
        <f>BDS("1436513D US Equity","SUPPLY_CHAIN_CUSTOMERS_FULL_DATA")</f>
        <v/>
      </c>
      <c r="EU5">
        <f>BDS("HU US Equity","SUPPLY_CHAIN_SUPPLIERS_FULL_DATA")</f>
        <v/>
      </c>
      <c r="FI5">
        <f>BDS("HU US Equity","SUPPLY_CHAIN_CUSTOMERS_FULL_DATA")</f>
        <v/>
      </c>
      <c r="FY5">
        <f>BDS("HBCP US Equity","SUPPLY_CHAIN_SUPPLIERS_FULL_DATA")</f>
        <v/>
      </c>
      <c r="GM5">
        <f>BDS("HBCP US Equity","SUPPLY_CHAIN_CUSTOMERS_FULL_DATA")</f>
        <v/>
      </c>
      <c r="HC5">
        <f>BDS("IXYS US Equity","SUPPLY_CHAIN_SUPPLIERS_FULL_DATA")</f>
        <v/>
      </c>
      <c r="HQ5">
        <f>BDS("IXYS US Equity","SUPPLY_CHAIN_CUSTOMERS_FULL_DATA")</f>
        <v/>
      </c>
      <c r="IG5">
        <f>BDS("GE US Equity","SUPPLY_CHAIN_SUPPLIERS_FULL_DATA")</f>
        <v/>
      </c>
      <c r="IU5">
        <f>BDS("GE US Equity","SUPPLY_CHAIN_CUSTOMERS_FULL_DATA")</f>
        <v/>
      </c>
      <c r="JK5">
        <f>BDS("BNCN US Equity","SUPPLY_CHAIN_SUPPLIERS_FULL_DATA")</f>
        <v/>
      </c>
      <c r="JY5">
        <f>BDS("BNCN US Equity","SUPPLY_CHAIN_CUSTOMERS_FULL_DATA")</f>
        <v/>
      </c>
      <c r="KO5">
        <f>BDS("MSCC US Equity","SUPPLY_CHAIN_SUPPLIERS_FULL_DATA")</f>
        <v/>
      </c>
      <c r="LC5">
        <f>BDS("MSCC US Equity","SUPPLY_CHAIN_CUSTOMERS_FULL_DATA")</f>
        <v/>
      </c>
      <c r="LS5">
        <f>BDS("SFNC US Equity","SUPPLY_CHAIN_SUPPLIERS_FULL_DATA")</f>
        <v/>
      </c>
      <c r="MG5">
        <f>BDS("SFNC US Equity","SUPPLY_CHAIN_CUSTOMERS_FULL_DATA")</f>
        <v/>
      </c>
      <c r="MW5">
        <f>BDS("LHX US Equity","SUPPLY_CHAIN_SUPPLIERS_FULL_DATA")</f>
        <v/>
      </c>
      <c r="NK5">
        <f>BDS("LHX US Equity","SUPPLY_CHAIN_CUSTOMERS_FULL_DATA")</f>
        <v/>
      </c>
      <c r="OA5">
        <f>BDS("VIZY US Equity","SUPPLY_CHAIN_SUPPLIERS_FULL_DATA")</f>
        <v/>
      </c>
      <c r="OO5">
        <f>BDS("VIZY US Equity","SUPPLY_CHAIN_CUSTOMERS_FULL_DATA")</f>
        <v/>
      </c>
      <c r="PE5">
        <f>BDS("BCAL US Equity","SUPPLY_CHAIN_SUPPLIERS_FULL_DATA")</f>
        <v/>
      </c>
      <c r="PS5">
        <f>BDS("BCAL US Equity","SUPPLY_CHAIN_CUSTOMERS_FULL_DATA")</f>
        <v/>
      </c>
      <c r="QI5">
        <f>BDS("CHCO US Equity","SUPPLY_CHAIN_SUPPLIERS_FULL_DATA")</f>
        <v/>
      </c>
      <c r="QW5">
        <f>BDS("CHCO US Equity","SUPPLY_CHAIN_CUSTOMERS_FULL_DATA")</f>
        <v/>
      </c>
      <c r="RM5">
        <f>BDS("NEBS US Equity","SUPPLY_CHAIN_SUPPLIERS_FULL_DATA")</f>
        <v/>
      </c>
      <c r="SA5">
        <f>BDS("NEBS US Equity","SUPPLY_CHAIN_CUSTOMERS_FULL_DATA")</f>
        <v/>
      </c>
      <c r="SQ5">
        <f>BDS("HTBK US Equity","SUPPLY_CHAIN_SUPPLIERS_FULL_DATA")</f>
        <v/>
      </c>
      <c r="TE5">
        <f>BDS("HTBK US Equity","SUPPLY_CHAIN_CUSTOMERS_FULL_DATA")</f>
        <v/>
      </c>
      <c r="TU5">
        <f>BDS("0897262D US Equity","SUPPLY_CHAIN_SUPPLIERS_FULL_DATA")</f>
        <v/>
      </c>
      <c r="UI5">
        <f>BDS("0897262D US Equity","SUPPLY_CHAIN_CUSTOMERS_FULL_DATA")</f>
        <v/>
      </c>
      <c r="UY5">
        <f>BDS("VFC US Equity","SUPPLY_CHAIN_SUPPLIERS_FULL_DATA")</f>
        <v/>
      </c>
      <c r="VM5">
        <f>BDS("VFC US Equity","SUPPLY_CHAIN_CUSTOMERS_FULL_DATA")</f>
        <v/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4501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4502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4503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4504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4505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4506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4507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4508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4509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4510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4511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4512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4513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4514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4515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4516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4517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4518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4519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4520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STTX US Equity</t>
        </is>
      </c>
      <c r="AE2" s="3" t="inlineStr">
        <is>
          <t>AGN US Equity</t>
        </is>
      </c>
      <c r="BI2" s="3" t="inlineStr">
        <is>
          <t>2966Q US Equity</t>
        </is>
      </c>
      <c r="CM2" s="3" t="inlineStr">
        <is>
          <t>MFSF US Equity</t>
        </is>
      </c>
      <c r="DQ2" s="3" t="inlineStr">
        <is>
          <t>1413542D US Equity</t>
        </is>
      </c>
      <c r="EU2" s="3" t="inlineStr">
        <is>
          <t>SYY US Equity</t>
        </is>
      </c>
      <c r="FY2" s="3" t="inlineStr">
        <is>
          <t>QCOM US Equity</t>
        </is>
      </c>
      <c r="HC2" s="3" t="inlineStr">
        <is>
          <t>0977894D US Equity</t>
        </is>
      </c>
      <c r="IG2" s="3" t="inlineStr">
        <is>
          <t>696119Q US Equity</t>
        </is>
      </c>
      <c r="JK2" s="3" t="inlineStr">
        <is>
          <t>AMZGQ US Equity</t>
        </is>
      </c>
      <c r="KO2" s="3" t="inlineStr">
        <is>
          <t>BRK/A US Equity</t>
        </is>
      </c>
      <c r="LS2" s="3" t="inlineStr">
        <is>
          <t>TMD US Equity</t>
        </is>
      </c>
      <c r="MW2" s="3" t="inlineStr">
        <is>
          <t>CWBC US Equity</t>
        </is>
      </c>
      <c r="OA2" s="3" t="inlineStr">
        <is>
          <t>IVIL US Equity</t>
        </is>
      </c>
      <c r="PE2" s="3" t="inlineStr">
        <is>
          <t>DVINQ US Equity</t>
        </is>
      </c>
      <c r="QI2" s="3" t="inlineStr">
        <is>
          <t>SMBC US Equity</t>
        </is>
      </c>
      <c r="RM2" s="3" t="inlineStr">
        <is>
          <t>IHRC US Equity</t>
        </is>
      </c>
      <c r="SQ2" s="3" t="inlineStr">
        <is>
          <t>BZBC US Equity</t>
        </is>
      </c>
      <c r="TU2" s="3" t="inlineStr">
        <is>
          <t>MCBF US Equity</t>
        </is>
      </c>
      <c r="UY2" s="3" t="inlineStr">
        <is>
          <t>TGEN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BDS("STTX US Equity","SUPPLY_CHAIN_SUPPLIERS_FULL_DATA")</f>
        <v/>
      </c>
      <c r="O5">
        <f>BDS("STTX US Equity","SUPPLY_CHAIN_CUSTOMERS_FULL_DATA")</f>
        <v/>
      </c>
      <c r="AE5">
        <f>BDS("AGN US Equity","SUPPLY_CHAIN_SUPPLIERS_FULL_DATA")</f>
        <v/>
      </c>
      <c r="AS5">
        <f>BDS("AGN US Equity","SUPPLY_CHAIN_CUSTOMERS_FULL_DATA")</f>
        <v/>
      </c>
      <c r="BI5">
        <f>BDS("2966Q US Equity","SUPPLY_CHAIN_SUPPLIERS_FULL_DATA")</f>
        <v/>
      </c>
      <c r="BW5">
        <f>BDS("2966Q US Equity","SUPPLY_CHAIN_CUSTOMERS_FULL_DATA")</f>
        <v/>
      </c>
      <c r="CM5">
        <f>BDS("MFSF US Equity","SUPPLY_CHAIN_SUPPLIERS_FULL_DATA")</f>
        <v/>
      </c>
      <c r="DA5">
        <f>BDS("MFSF US Equity","SUPPLY_CHAIN_CUSTOMERS_FULL_DATA")</f>
        <v/>
      </c>
      <c r="DQ5">
        <f>BDS("1413542D US Equity","SUPPLY_CHAIN_SUPPLIERS_FULL_DATA")</f>
        <v/>
      </c>
      <c r="EE5">
        <f>BDS("1413542D US Equity","SUPPLY_CHAIN_CUSTOMERS_FULL_DATA")</f>
        <v/>
      </c>
      <c r="EU5">
        <f>BDS("SYY US Equity","SUPPLY_CHAIN_SUPPLIERS_FULL_DATA")</f>
        <v/>
      </c>
      <c r="FI5">
        <f>BDS("SYY US Equity","SUPPLY_CHAIN_CUSTOMERS_FULL_DATA")</f>
        <v/>
      </c>
      <c r="FY5">
        <f>BDS("QCOM US Equity","SUPPLY_CHAIN_SUPPLIERS_FULL_DATA")</f>
        <v/>
      </c>
      <c r="GM5">
        <f>BDS("QCOM US Equity","SUPPLY_CHAIN_CUSTOMERS_FULL_DATA")</f>
        <v/>
      </c>
      <c r="HC5">
        <f>BDS("0977894D US Equity","SUPPLY_CHAIN_SUPPLIERS_FULL_DATA")</f>
        <v/>
      </c>
      <c r="HQ5">
        <f>BDS("0977894D US Equity","SUPPLY_CHAIN_CUSTOMERS_FULL_DATA")</f>
        <v/>
      </c>
      <c r="IG5">
        <f>BDS("696119Q US Equity","SUPPLY_CHAIN_SUPPLIERS_FULL_DATA")</f>
        <v/>
      </c>
      <c r="IU5">
        <f>BDS("696119Q US Equity","SUPPLY_CHAIN_CUSTOMERS_FULL_DATA")</f>
        <v/>
      </c>
      <c r="JK5">
        <f>BDS("AMZGQ US Equity","SUPPLY_CHAIN_SUPPLIERS_FULL_DATA")</f>
        <v/>
      </c>
      <c r="JY5">
        <f>BDS("AMZGQ US Equity","SUPPLY_CHAIN_CUSTOMERS_FULL_DATA")</f>
        <v/>
      </c>
      <c r="KO5">
        <f>BDS("BRK/A US Equity","SUPPLY_CHAIN_SUPPLIERS_FULL_DATA")</f>
        <v/>
      </c>
      <c r="LC5">
        <f>BDS("BRK/A US Equity","SUPPLY_CHAIN_CUSTOMERS_FULL_DATA")</f>
        <v/>
      </c>
      <c r="LS5">
        <f>BDS("TMD US Equity","SUPPLY_CHAIN_SUPPLIERS_FULL_DATA")</f>
        <v/>
      </c>
      <c r="MG5">
        <f>BDS("TMD US Equity","SUPPLY_CHAIN_CUSTOMERS_FULL_DATA")</f>
        <v/>
      </c>
      <c r="MW5">
        <f>BDS("CWBC US Equity","SUPPLY_CHAIN_SUPPLIERS_FULL_DATA")</f>
        <v/>
      </c>
      <c r="NK5">
        <f>BDS("CWBC US Equity","SUPPLY_CHAIN_CUSTOMERS_FULL_DATA")</f>
        <v/>
      </c>
      <c r="OA5">
        <f>BDS("IVIL US Equity","SUPPLY_CHAIN_SUPPLIERS_FULL_DATA")</f>
        <v/>
      </c>
      <c r="OO5">
        <f>BDS("IVIL US Equity","SUPPLY_CHAIN_CUSTOMERS_FULL_DATA")</f>
        <v/>
      </c>
      <c r="PE5">
        <f>BDS("DVINQ US Equity","SUPPLY_CHAIN_SUPPLIERS_FULL_DATA")</f>
        <v/>
      </c>
      <c r="PS5">
        <f>BDS("DVINQ US Equity","SUPPLY_CHAIN_CUSTOMERS_FULL_DATA")</f>
        <v/>
      </c>
      <c r="QI5">
        <f>BDS("SMBC US Equity","SUPPLY_CHAIN_SUPPLIERS_FULL_DATA")</f>
        <v/>
      </c>
      <c r="QW5">
        <f>BDS("SMBC US Equity","SUPPLY_CHAIN_CUSTOMERS_FULL_DATA")</f>
        <v/>
      </c>
      <c r="RM5">
        <f>BDS("IHRC US Equity","SUPPLY_CHAIN_SUPPLIERS_FULL_DATA")</f>
        <v/>
      </c>
      <c r="SA5">
        <f>BDS("IHRC US Equity","SUPPLY_CHAIN_CUSTOMERS_FULL_DATA")</f>
        <v/>
      </c>
      <c r="SQ5">
        <f>BDS("BZBC US Equity","SUPPLY_CHAIN_SUPPLIERS_FULL_DATA")</f>
        <v/>
      </c>
      <c r="TE5">
        <f>BDS("BZBC US Equity","SUPPLY_CHAIN_CUSTOMERS_FULL_DATA")</f>
        <v/>
      </c>
      <c r="TU5">
        <f>BDS("MCBF US Equity","SUPPLY_CHAIN_SUPPLIERS_FULL_DATA")</f>
        <v/>
      </c>
      <c r="UI5">
        <f>BDS("MCBF US Equity","SUPPLY_CHAIN_CUSTOMERS_FULL_DATA")</f>
        <v/>
      </c>
      <c r="UY5">
        <f>BDS("TGEN US Equity","SUPPLY_CHAIN_SUPPLIERS_FULL_DATA")</f>
        <v/>
      </c>
      <c r="VM5">
        <f>BDS("TGEN US Equity","SUPPLY_CHAIN_CUSTOMERS_FULL_DATA")</f>
        <v/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4521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4522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4523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4524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4525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4526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4527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4528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4529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4530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4531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4532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4533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4534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4535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4536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4537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4538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4539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4540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CNOB US Equity</t>
        </is>
      </c>
      <c r="AE2" s="3" t="inlineStr">
        <is>
          <t>NWFL US Equity</t>
        </is>
      </c>
      <c r="BI2" s="3" t="inlineStr">
        <is>
          <t>WCGRQ US Equity</t>
        </is>
      </c>
      <c r="CM2" s="3" t="inlineStr">
        <is>
          <t>AWBCQ US Equity</t>
        </is>
      </c>
      <c r="DQ2" s="3" t="inlineStr">
        <is>
          <t>RRHI US Equity</t>
        </is>
      </c>
      <c r="EU2" s="3" t="inlineStr">
        <is>
          <t>PRWT US Equity</t>
        </is>
      </c>
      <c r="FY2" s="3" t="inlineStr">
        <is>
          <t>1838147D US Equity</t>
        </is>
      </c>
      <c r="HC2" s="3" t="inlineStr">
        <is>
          <t>CHEV US Equity</t>
        </is>
      </c>
      <c r="IG2" s="3" t="inlineStr">
        <is>
          <t>SPXC US Equity</t>
        </is>
      </c>
      <c r="JK2" s="3" t="inlineStr">
        <is>
          <t>CATM US Equity</t>
        </is>
      </c>
      <c r="KO2" s="3" t="inlineStr">
        <is>
          <t>FCBC US Equity</t>
        </is>
      </c>
      <c r="LS2" s="3" t="inlineStr">
        <is>
          <t>SASR US Equity</t>
        </is>
      </c>
      <c r="MW2" s="3" t="inlineStr">
        <is>
          <t>SBBX US Equity</t>
        </is>
      </c>
      <c r="OA2" s="3" t="inlineStr">
        <is>
          <t>nan Equity</t>
        </is>
      </c>
      <c r="PE2" s="3" t="inlineStr">
        <is>
          <t>LNCB US Equity</t>
        </is>
      </c>
      <c r="QI2" s="3" t="inlineStr">
        <is>
          <t>STC US Equity</t>
        </is>
      </c>
      <c r="RM2" s="3" t="inlineStr">
        <is>
          <t>0948669D US Equity</t>
        </is>
      </c>
      <c r="SQ2" s="3" t="inlineStr">
        <is>
          <t>WCOEQ US Equity</t>
        </is>
      </c>
      <c r="TU2" s="3" t="inlineStr">
        <is>
          <t>VRCC US Equity</t>
        </is>
      </c>
      <c r="UY2" s="3" t="inlineStr">
        <is>
          <t>623366Q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BDS("CNOB US Equity","SUPPLY_CHAIN_SUPPLIERS_FULL_DATA")</f>
        <v/>
      </c>
      <c r="O5">
        <f>BDS("CNOB US Equity","SUPPLY_CHAIN_CUSTOMERS_FULL_DATA")</f>
        <v/>
      </c>
      <c r="AE5">
        <f>BDS("NWFL US Equity","SUPPLY_CHAIN_SUPPLIERS_FULL_DATA")</f>
        <v/>
      </c>
      <c r="AS5">
        <f>BDS("NWFL US Equity","SUPPLY_CHAIN_CUSTOMERS_FULL_DATA")</f>
        <v/>
      </c>
      <c r="BI5">
        <f>BDS("WCGRQ US Equity","SUPPLY_CHAIN_SUPPLIERS_FULL_DATA")</f>
        <v/>
      </c>
      <c r="BW5">
        <f>BDS("WCGRQ US Equity","SUPPLY_CHAIN_CUSTOMERS_FULL_DATA")</f>
        <v/>
      </c>
      <c r="CM5">
        <f>BDS("AWBCQ US Equity","SUPPLY_CHAIN_SUPPLIERS_FULL_DATA")</f>
        <v/>
      </c>
      <c r="DA5">
        <f>BDS("AWBCQ US Equity","SUPPLY_CHAIN_CUSTOMERS_FULL_DATA")</f>
        <v/>
      </c>
      <c r="DQ5">
        <f>BDS("RRHI US Equity","SUPPLY_CHAIN_SUPPLIERS_FULL_DATA")</f>
        <v/>
      </c>
      <c r="EE5">
        <f>BDS("RRHI US Equity","SUPPLY_CHAIN_CUSTOMERS_FULL_DATA")</f>
        <v/>
      </c>
      <c r="EU5">
        <f>BDS("PRWT US Equity","SUPPLY_CHAIN_SUPPLIERS_FULL_DATA")</f>
        <v/>
      </c>
      <c r="FI5">
        <f>BDS("PRWT US Equity","SUPPLY_CHAIN_CUSTOMERS_FULL_DATA")</f>
        <v/>
      </c>
      <c r="FY5">
        <f>BDS("1838147D US Equity","SUPPLY_CHAIN_SUPPLIERS_FULL_DATA")</f>
        <v/>
      </c>
      <c r="GM5">
        <f>BDS("1838147D US Equity","SUPPLY_CHAIN_CUSTOMERS_FULL_DATA")</f>
        <v/>
      </c>
      <c r="HC5">
        <f>BDS("CHEV US Equity","SUPPLY_CHAIN_SUPPLIERS_FULL_DATA")</f>
        <v/>
      </c>
      <c r="HQ5">
        <f>BDS("CHEV US Equity","SUPPLY_CHAIN_CUSTOMERS_FULL_DATA")</f>
        <v/>
      </c>
      <c r="IG5">
        <f>BDS("SPXC US Equity","SUPPLY_CHAIN_SUPPLIERS_FULL_DATA")</f>
        <v/>
      </c>
      <c r="IU5">
        <f>BDS("SPXC US Equity","SUPPLY_CHAIN_CUSTOMERS_FULL_DATA")</f>
        <v/>
      </c>
      <c r="JK5">
        <f>BDS("CATM US Equity","SUPPLY_CHAIN_SUPPLIERS_FULL_DATA")</f>
        <v/>
      </c>
      <c r="JY5">
        <f>BDS("CATM US Equity","SUPPLY_CHAIN_CUSTOMERS_FULL_DATA")</f>
        <v/>
      </c>
      <c r="KO5">
        <f>BDS("FCBC US Equity","SUPPLY_CHAIN_SUPPLIERS_FULL_DATA")</f>
        <v/>
      </c>
      <c r="LC5">
        <f>BDS("FCBC US Equity","SUPPLY_CHAIN_CUSTOMERS_FULL_DATA")</f>
        <v/>
      </c>
      <c r="LS5">
        <f>BDS("SASR US Equity","SUPPLY_CHAIN_SUPPLIERS_FULL_DATA")</f>
        <v/>
      </c>
      <c r="MG5">
        <f>BDS("SASR US Equity","SUPPLY_CHAIN_CUSTOMERS_FULL_DATA")</f>
        <v/>
      </c>
      <c r="MW5">
        <f>BDS("SBBX US Equity","SUPPLY_CHAIN_SUPPLIERS_FULL_DATA")</f>
        <v/>
      </c>
      <c r="NK5">
        <f>BDS("SBBX US Equity","SUPPLY_CHAIN_CUSTOMERS_FULL_DATA")</f>
        <v/>
      </c>
      <c r="OA5">
        <f>BDS("nan Equity","SUPPLY_CHAIN_SUPPLIERS_FULL_DATA")</f>
        <v/>
      </c>
      <c r="OO5">
        <f>BDS("nan Equity","SUPPLY_CHAIN_CUSTOMERS_FULL_DATA")</f>
        <v/>
      </c>
      <c r="PE5">
        <f>BDS("LNCB US Equity","SUPPLY_CHAIN_SUPPLIERS_FULL_DATA")</f>
        <v/>
      </c>
      <c r="PS5">
        <f>BDS("LNCB US Equity","SUPPLY_CHAIN_CUSTOMERS_FULL_DATA")</f>
        <v/>
      </c>
      <c r="QI5">
        <f>BDS("STC US Equity","SUPPLY_CHAIN_SUPPLIERS_FULL_DATA")</f>
        <v/>
      </c>
      <c r="QW5">
        <f>BDS("STC US Equity","SUPPLY_CHAIN_CUSTOMERS_FULL_DATA")</f>
        <v/>
      </c>
      <c r="RM5">
        <f>BDS("0948669D US Equity","SUPPLY_CHAIN_SUPPLIERS_FULL_DATA")</f>
        <v/>
      </c>
      <c r="SA5">
        <f>BDS("0948669D US Equity","SUPPLY_CHAIN_CUSTOMERS_FULL_DATA")</f>
        <v/>
      </c>
      <c r="SQ5">
        <f>BDS("WCOEQ US Equity","SUPPLY_CHAIN_SUPPLIERS_FULL_DATA")</f>
        <v/>
      </c>
      <c r="TE5">
        <f>BDS("WCOEQ US Equity","SUPPLY_CHAIN_CUSTOMERS_FULL_DATA")</f>
        <v/>
      </c>
      <c r="TU5">
        <f>BDS("VRCC US Equity","SUPPLY_CHAIN_SUPPLIERS_FULL_DATA")</f>
        <v/>
      </c>
      <c r="UI5">
        <f>BDS("VRCC US Equity","SUPPLY_CHAIN_CUSTOMERS_FULL_DATA")</f>
        <v/>
      </c>
      <c r="UY5">
        <f>BDS("623366Q US Equity","SUPPLY_CHAIN_SUPPLIERS_FULL_DATA")</f>
        <v/>
      </c>
      <c r="VM5">
        <f>BDS("623366Q US Equity","SUPPLY_CHAIN_CUSTOMERS_FULL_DATA")</f>
        <v/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4541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4542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4543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4544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4545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4546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4547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4548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4549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4550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4551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4552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4553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4554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4555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4556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4557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4558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4559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4560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AMNB US Equity</t>
        </is>
      </c>
      <c r="AE2" s="3" t="inlineStr">
        <is>
          <t>BANC US Equity</t>
        </is>
      </c>
      <c r="BI2" s="3" t="inlineStr">
        <is>
          <t>BRK/A US Equity</t>
        </is>
      </c>
      <c r="CM2" s="3" t="inlineStr">
        <is>
          <t>967617Z US Equity</t>
        </is>
      </c>
      <c r="DQ2" s="3" t="inlineStr">
        <is>
          <t>DBAI US Equity</t>
        </is>
      </c>
      <c r="EU2" s="3" t="inlineStr">
        <is>
          <t>RILY US Equity</t>
        </is>
      </c>
      <c r="FY2" s="3" t="inlineStr">
        <is>
          <t>BKYF US Equity</t>
        </is>
      </c>
      <c r="HC2" s="3" t="inlineStr">
        <is>
          <t>FMFG US Equity</t>
        </is>
      </c>
      <c r="IG2" s="3" t="inlineStr">
        <is>
          <t>CMBC US Equity</t>
        </is>
      </c>
      <c r="JK2" s="3" t="inlineStr">
        <is>
          <t>CTED US Equity</t>
        </is>
      </c>
      <c r="KO2" s="3" t="inlineStr">
        <is>
          <t>RBI US Equity</t>
        </is>
      </c>
      <c r="LS2" s="3" t="inlineStr">
        <is>
          <t>WFBI US Equity</t>
        </is>
      </c>
      <c r="MW2" s="3" t="inlineStr">
        <is>
          <t>GE US Equity</t>
        </is>
      </c>
      <c r="OA2" s="3" t="inlineStr">
        <is>
          <t>ARTG US Equity</t>
        </is>
      </c>
      <c r="PE2" s="3" t="inlineStr">
        <is>
          <t>CALB US Equity</t>
        </is>
      </c>
      <c r="QI2" s="3" t="inlineStr">
        <is>
          <t>AMNB US Equity</t>
        </is>
      </c>
      <c r="RM2" s="3" t="inlineStr">
        <is>
          <t>AMCX US Equity</t>
        </is>
      </c>
      <c r="SQ2" s="3" t="inlineStr">
        <is>
          <t>NEPF US Equity</t>
        </is>
      </c>
      <c r="TU2" s="3" t="inlineStr">
        <is>
          <t>PSBI US Equity</t>
        </is>
      </c>
      <c r="UY2" s="3" t="inlineStr">
        <is>
          <t>EXAR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BDS("AMNB US Equity","SUPPLY_CHAIN_SUPPLIERS_FULL_DATA")</f>
        <v/>
      </c>
      <c r="O5">
        <f>BDS("AMNB US Equity","SUPPLY_CHAIN_CUSTOMERS_FULL_DATA")</f>
        <v/>
      </c>
      <c r="AE5">
        <f>BDS("BANC US Equity","SUPPLY_CHAIN_SUPPLIERS_FULL_DATA")</f>
        <v/>
      </c>
      <c r="AS5">
        <f>BDS("BANC US Equity","SUPPLY_CHAIN_CUSTOMERS_FULL_DATA")</f>
        <v/>
      </c>
      <c r="BI5">
        <f>BDS("BRK/A US Equity","SUPPLY_CHAIN_SUPPLIERS_FULL_DATA")</f>
        <v/>
      </c>
      <c r="BW5">
        <f>BDS("BRK/A US Equity","SUPPLY_CHAIN_CUSTOMERS_FULL_DATA")</f>
        <v/>
      </c>
      <c r="CM5">
        <f>BDS("967617Z US Equity","SUPPLY_CHAIN_SUPPLIERS_FULL_DATA")</f>
        <v/>
      </c>
      <c r="DA5">
        <f>BDS("967617Z US Equity","SUPPLY_CHAIN_CUSTOMERS_FULL_DATA")</f>
        <v/>
      </c>
      <c r="DQ5">
        <f>BDS("DBAI US Equity","SUPPLY_CHAIN_SUPPLIERS_FULL_DATA")</f>
        <v/>
      </c>
      <c r="EE5">
        <f>BDS("DBAI US Equity","SUPPLY_CHAIN_CUSTOMERS_FULL_DATA")</f>
        <v/>
      </c>
      <c r="EU5">
        <f>BDS("RILY US Equity","SUPPLY_CHAIN_SUPPLIERS_FULL_DATA")</f>
        <v/>
      </c>
      <c r="FI5">
        <f>BDS("RILY US Equity","SUPPLY_CHAIN_CUSTOMERS_FULL_DATA")</f>
        <v/>
      </c>
      <c r="FY5">
        <f>BDS("BKYF US Equity","SUPPLY_CHAIN_SUPPLIERS_FULL_DATA")</f>
        <v/>
      </c>
      <c r="GM5">
        <f>BDS("BKYF US Equity","SUPPLY_CHAIN_CUSTOMERS_FULL_DATA")</f>
        <v/>
      </c>
      <c r="HC5">
        <f>BDS("FMFG US Equity","SUPPLY_CHAIN_SUPPLIERS_FULL_DATA")</f>
        <v/>
      </c>
      <c r="HQ5">
        <f>BDS("FMFG US Equity","SUPPLY_CHAIN_CUSTOMERS_FULL_DATA")</f>
        <v/>
      </c>
      <c r="IG5">
        <f>BDS("CMBC US Equity","SUPPLY_CHAIN_SUPPLIERS_FULL_DATA")</f>
        <v/>
      </c>
      <c r="IU5">
        <f>BDS("CMBC US Equity","SUPPLY_CHAIN_CUSTOMERS_FULL_DATA")</f>
        <v/>
      </c>
      <c r="JK5">
        <f>BDS("CTED US Equity","SUPPLY_CHAIN_SUPPLIERS_FULL_DATA")</f>
        <v/>
      </c>
      <c r="JY5">
        <f>BDS("CTED US Equity","SUPPLY_CHAIN_CUSTOMERS_FULL_DATA")</f>
        <v/>
      </c>
      <c r="KO5">
        <f>BDS("RBI US Equity","SUPPLY_CHAIN_SUPPLIERS_FULL_DATA")</f>
        <v/>
      </c>
      <c r="LC5">
        <f>BDS("RBI US Equity","SUPPLY_CHAIN_CUSTOMERS_FULL_DATA")</f>
        <v/>
      </c>
      <c r="LS5">
        <f>BDS("WFBI US Equity","SUPPLY_CHAIN_SUPPLIERS_FULL_DATA")</f>
        <v/>
      </c>
      <c r="MG5">
        <f>BDS("WFBI US Equity","SUPPLY_CHAIN_CUSTOMERS_FULL_DATA")</f>
        <v/>
      </c>
      <c r="MW5">
        <f>BDS("GE US Equity","SUPPLY_CHAIN_SUPPLIERS_FULL_DATA")</f>
        <v/>
      </c>
      <c r="NK5">
        <f>BDS("GE US Equity","SUPPLY_CHAIN_CUSTOMERS_FULL_DATA")</f>
        <v/>
      </c>
      <c r="OA5">
        <f>BDS("ARTG US Equity","SUPPLY_CHAIN_SUPPLIERS_FULL_DATA")</f>
        <v/>
      </c>
      <c r="OO5">
        <f>BDS("ARTG US Equity","SUPPLY_CHAIN_CUSTOMERS_FULL_DATA")</f>
        <v/>
      </c>
      <c r="PE5">
        <f>BDS("CALB US Equity","SUPPLY_CHAIN_SUPPLIERS_FULL_DATA")</f>
        <v/>
      </c>
      <c r="PS5">
        <f>BDS("CALB US Equity","SUPPLY_CHAIN_CUSTOMERS_FULL_DATA")</f>
        <v/>
      </c>
      <c r="QI5">
        <f>BDS("AMNB US Equity","SUPPLY_CHAIN_SUPPLIERS_FULL_DATA")</f>
        <v/>
      </c>
      <c r="QW5">
        <f>BDS("AMNB US Equity","SUPPLY_CHAIN_CUSTOMERS_FULL_DATA")</f>
        <v/>
      </c>
      <c r="RM5">
        <f>BDS("AMCX US Equity","SUPPLY_CHAIN_SUPPLIERS_FULL_DATA")</f>
        <v/>
      </c>
      <c r="SA5">
        <f>BDS("AMCX US Equity","SUPPLY_CHAIN_CUSTOMERS_FULL_DATA")</f>
        <v/>
      </c>
      <c r="SQ5">
        <f>BDS("NEPF US Equity","SUPPLY_CHAIN_SUPPLIERS_FULL_DATA")</f>
        <v/>
      </c>
      <c r="TE5">
        <f>BDS("NEPF US Equity","SUPPLY_CHAIN_CUSTOMERS_FULL_DATA")</f>
        <v/>
      </c>
      <c r="TU5">
        <f>BDS("PSBI US Equity","SUPPLY_CHAIN_SUPPLIERS_FULL_DATA")</f>
        <v/>
      </c>
      <c r="UI5">
        <f>BDS("PSBI US Equity","SUPPLY_CHAIN_CUSTOMERS_FULL_DATA")</f>
        <v/>
      </c>
      <c r="UY5">
        <f>BDS("EXAR US Equity","SUPPLY_CHAIN_SUPPLIERS_FULL_DATA")</f>
        <v/>
      </c>
      <c r="VM5">
        <f>BDS("EXAR US Equity","SUPPLY_CHAIN_CUSTOMERS_FULL_DATA")</f>
        <v/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4561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4562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4563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4564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4565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4566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4567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4568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4569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4570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4571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4572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4573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4574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4575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4576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4577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4578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4579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4580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FRAF US Equity</t>
        </is>
      </c>
      <c r="AE2" s="3" t="inlineStr">
        <is>
          <t>SBIB US Equity</t>
        </is>
      </c>
      <c r="BI2" s="3" t="inlineStr">
        <is>
          <t>SMLE US Equity</t>
        </is>
      </c>
      <c r="CM2" s="3" t="inlineStr">
        <is>
          <t>9876552D US Equity</t>
        </is>
      </c>
      <c r="DQ2" s="3" t="inlineStr">
        <is>
          <t>PII US Equity</t>
        </is>
      </c>
      <c r="EU2" s="3" t="inlineStr">
        <is>
          <t>PPBI US Equity</t>
        </is>
      </c>
      <c r="FY2" s="3" t="inlineStr">
        <is>
          <t>MFA US Equity</t>
        </is>
      </c>
      <c r="HC2" s="3" t="inlineStr">
        <is>
          <t>BLUD US Equity</t>
        </is>
      </c>
      <c r="IG2" s="3" t="inlineStr">
        <is>
          <t>COB US Equity</t>
        </is>
      </c>
      <c r="JK2" s="3" t="inlineStr">
        <is>
          <t>MRVC US Equity</t>
        </is>
      </c>
      <c r="KO2" s="3" t="inlineStr">
        <is>
          <t>TCF US Equity</t>
        </is>
      </c>
      <c r="LS2" s="3" t="inlineStr">
        <is>
          <t>UCFC US Equity</t>
        </is>
      </c>
      <c r="MW2" s="3" t="inlineStr">
        <is>
          <t>AIV US Equity</t>
        </is>
      </c>
      <c r="OA2" s="3" t="inlineStr">
        <is>
          <t>GABC US Equity</t>
        </is>
      </c>
      <c r="PE2" s="3" t="inlineStr">
        <is>
          <t>CIVB US Equity</t>
        </is>
      </c>
      <c r="QI2" s="3" t="inlineStr">
        <is>
          <t>0838460D US Equity</t>
        </is>
      </c>
      <c r="RM2" s="3" t="inlineStr">
        <is>
          <t>DGICA US Equity</t>
        </is>
      </c>
      <c r="SQ2" s="3" t="inlineStr">
        <is>
          <t>THG US Equity</t>
        </is>
      </c>
      <c r="TU2" s="3" t="inlineStr">
        <is>
          <t>NKTR US Equity</t>
        </is>
      </c>
      <c r="UY2" s="3" t="inlineStr">
        <is>
          <t>PRDO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BDS("FRAF US Equity","SUPPLY_CHAIN_SUPPLIERS_FULL_DATA")</f>
        <v/>
      </c>
      <c r="O5">
        <f>BDS("FRAF US Equity","SUPPLY_CHAIN_CUSTOMERS_FULL_DATA")</f>
        <v/>
      </c>
      <c r="AE5">
        <f>BDS("SBIB US Equity","SUPPLY_CHAIN_SUPPLIERS_FULL_DATA")</f>
        <v/>
      </c>
      <c r="AS5">
        <f>BDS("SBIB US Equity","SUPPLY_CHAIN_CUSTOMERS_FULL_DATA")</f>
        <v/>
      </c>
      <c r="BI5">
        <f>BDS("SMLE US Equity","SUPPLY_CHAIN_SUPPLIERS_FULL_DATA")</f>
        <v/>
      </c>
      <c r="BW5">
        <f>BDS("SMLE US Equity","SUPPLY_CHAIN_CUSTOMERS_FULL_DATA")</f>
        <v/>
      </c>
      <c r="CM5">
        <f>BDS("9876552D US Equity","SUPPLY_CHAIN_SUPPLIERS_FULL_DATA")</f>
        <v/>
      </c>
      <c r="DA5">
        <f>BDS("9876552D US Equity","SUPPLY_CHAIN_CUSTOMERS_FULL_DATA")</f>
        <v/>
      </c>
      <c r="DQ5">
        <f>BDS("PII US Equity","SUPPLY_CHAIN_SUPPLIERS_FULL_DATA")</f>
        <v/>
      </c>
      <c r="EE5">
        <f>BDS("PII US Equity","SUPPLY_CHAIN_CUSTOMERS_FULL_DATA")</f>
        <v/>
      </c>
      <c r="EU5">
        <f>BDS("PPBI US Equity","SUPPLY_CHAIN_SUPPLIERS_FULL_DATA")</f>
        <v/>
      </c>
      <c r="FI5">
        <f>BDS("PPBI US Equity","SUPPLY_CHAIN_CUSTOMERS_FULL_DATA")</f>
        <v/>
      </c>
      <c r="FY5">
        <f>BDS("MFA US Equity","SUPPLY_CHAIN_SUPPLIERS_FULL_DATA")</f>
        <v/>
      </c>
      <c r="GM5">
        <f>BDS("MFA US Equity","SUPPLY_CHAIN_CUSTOMERS_FULL_DATA")</f>
        <v/>
      </c>
      <c r="HC5">
        <f>BDS("BLUD US Equity","SUPPLY_CHAIN_SUPPLIERS_FULL_DATA")</f>
        <v/>
      </c>
      <c r="HQ5">
        <f>BDS("BLUD US Equity","SUPPLY_CHAIN_CUSTOMERS_FULL_DATA")</f>
        <v/>
      </c>
      <c r="IG5">
        <f>BDS("COB US Equity","SUPPLY_CHAIN_SUPPLIERS_FULL_DATA")</f>
        <v/>
      </c>
      <c r="IU5">
        <f>BDS("COB US Equity","SUPPLY_CHAIN_CUSTOMERS_FULL_DATA")</f>
        <v/>
      </c>
      <c r="JK5">
        <f>BDS("MRVC US Equity","SUPPLY_CHAIN_SUPPLIERS_FULL_DATA")</f>
        <v/>
      </c>
      <c r="JY5">
        <f>BDS("MRVC US Equity","SUPPLY_CHAIN_CUSTOMERS_FULL_DATA")</f>
        <v/>
      </c>
      <c r="KO5">
        <f>BDS("TCF US Equity","SUPPLY_CHAIN_SUPPLIERS_FULL_DATA")</f>
        <v/>
      </c>
      <c r="LC5">
        <f>BDS("TCF US Equity","SUPPLY_CHAIN_CUSTOMERS_FULL_DATA")</f>
        <v/>
      </c>
      <c r="LS5">
        <f>BDS("UCFC US Equity","SUPPLY_CHAIN_SUPPLIERS_FULL_DATA")</f>
        <v/>
      </c>
      <c r="MG5">
        <f>BDS("UCFC US Equity","SUPPLY_CHAIN_CUSTOMERS_FULL_DATA")</f>
        <v/>
      </c>
      <c r="MW5">
        <f>BDS("AIV US Equity","SUPPLY_CHAIN_SUPPLIERS_FULL_DATA")</f>
        <v/>
      </c>
      <c r="NK5">
        <f>BDS("AIV US Equity","SUPPLY_CHAIN_CUSTOMERS_FULL_DATA")</f>
        <v/>
      </c>
      <c r="OA5">
        <f>BDS("GABC US Equity","SUPPLY_CHAIN_SUPPLIERS_FULL_DATA")</f>
        <v/>
      </c>
      <c r="OO5">
        <f>BDS("GABC US Equity","SUPPLY_CHAIN_CUSTOMERS_FULL_DATA")</f>
        <v/>
      </c>
      <c r="PE5">
        <f>BDS("CIVB US Equity","SUPPLY_CHAIN_SUPPLIERS_FULL_DATA")</f>
        <v/>
      </c>
      <c r="PS5">
        <f>BDS("CIVB US Equity","SUPPLY_CHAIN_CUSTOMERS_FULL_DATA")</f>
        <v/>
      </c>
      <c r="QI5">
        <f>BDS("0838460D US Equity","SUPPLY_CHAIN_SUPPLIERS_FULL_DATA")</f>
        <v/>
      </c>
      <c r="QW5">
        <f>BDS("0838460D US Equity","SUPPLY_CHAIN_CUSTOMERS_FULL_DATA")</f>
        <v/>
      </c>
      <c r="RM5">
        <f>BDS("DGICA US Equity","SUPPLY_CHAIN_SUPPLIERS_FULL_DATA")</f>
        <v/>
      </c>
      <c r="SA5">
        <f>BDS("DGICA US Equity","SUPPLY_CHAIN_CUSTOMERS_FULL_DATA")</f>
        <v/>
      </c>
      <c r="SQ5">
        <f>BDS("THG US Equity","SUPPLY_CHAIN_SUPPLIERS_FULL_DATA")</f>
        <v/>
      </c>
      <c r="TE5">
        <f>BDS("THG US Equity","SUPPLY_CHAIN_CUSTOMERS_FULL_DATA")</f>
        <v/>
      </c>
      <c r="TU5">
        <f>BDS("NKTR US Equity","SUPPLY_CHAIN_SUPPLIERS_FULL_DATA")</f>
        <v/>
      </c>
      <c r="UI5">
        <f>BDS("NKTR US Equity","SUPPLY_CHAIN_CUSTOMERS_FULL_DATA")</f>
        <v/>
      </c>
      <c r="UY5">
        <f>BDS("PRDO US Equity","SUPPLY_CHAIN_SUPPLIERS_FULL_DATA")</f>
        <v/>
      </c>
      <c r="VM5">
        <f>BDS("PRDO US Equity","SUPPLY_CHAIN_CUSTOMERS_FULL_DATA")</f>
        <v/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4581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4582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4583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4584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4585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4586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4587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4588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4589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4590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4591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4592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4593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4594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4595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4596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4597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4598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4599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4600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388103Q US Equity</t>
        </is>
      </c>
      <c r="AE2" s="3" t="inlineStr">
        <is>
          <t>UBOH US Equity</t>
        </is>
      </c>
      <c r="BI2" s="3" t="inlineStr">
        <is>
          <t>CDTI US Equity</t>
        </is>
      </c>
      <c r="CM2" s="3" t="inlineStr">
        <is>
          <t>9990527D US Equity</t>
        </is>
      </c>
      <c r="DQ2" s="3" t="inlineStr">
        <is>
          <t>CACI US Equity</t>
        </is>
      </c>
      <c r="EU2" s="3" t="inlineStr">
        <is>
          <t>MTSC US Equity</t>
        </is>
      </c>
      <c r="FY2" s="3" t="inlineStr">
        <is>
          <t>ABCB US Equity</t>
        </is>
      </c>
      <c r="HC2" s="3" t="inlineStr">
        <is>
          <t>CLRO US Equity</t>
        </is>
      </c>
      <c r="IG2" s="3" t="inlineStr">
        <is>
          <t>0948669D US Equity</t>
        </is>
      </c>
      <c r="JK2" s="3" t="inlineStr">
        <is>
          <t>78651Q US Equity</t>
        </is>
      </c>
      <c r="KO2" s="3" t="inlineStr">
        <is>
          <t>SUSQ US Equity</t>
        </is>
      </c>
      <c r="LS2" s="3" t="inlineStr">
        <is>
          <t>1986522D US Equity</t>
        </is>
      </c>
      <c r="MW2" s="3" t="inlineStr">
        <is>
          <t>KTYB US Equity</t>
        </is>
      </c>
      <c r="OA2" s="3" t="inlineStr">
        <is>
          <t>NOVB US Equity</t>
        </is>
      </c>
      <c r="PE2" s="3" t="inlineStr">
        <is>
          <t>HRLY US Equity</t>
        </is>
      </c>
      <c r="QI2" s="3" t="inlineStr">
        <is>
          <t>PVLY US Equity</t>
        </is>
      </c>
      <c r="RM2" s="3" t="inlineStr">
        <is>
          <t>1927294D US Equity</t>
        </is>
      </c>
      <c r="SQ2" s="3" t="inlineStr">
        <is>
          <t>3129880Q US Equity</t>
        </is>
      </c>
      <c r="TU2" s="3" t="inlineStr">
        <is>
          <t>1850925D US Equity</t>
        </is>
      </c>
      <c r="UY2" s="3" t="inlineStr">
        <is>
          <t>COFS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BDS("388103Q US Equity","SUPPLY_CHAIN_SUPPLIERS_FULL_DATA")</f>
        <v/>
      </c>
      <c r="O5">
        <f>BDS("388103Q US Equity","SUPPLY_CHAIN_CUSTOMERS_FULL_DATA")</f>
        <v/>
      </c>
      <c r="AE5">
        <f>BDS("UBOH US Equity","SUPPLY_CHAIN_SUPPLIERS_FULL_DATA")</f>
        <v/>
      </c>
      <c r="AS5">
        <f>BDS("UBOH US Equity","SUPPLY_CHAIN_CUSTOMERS_FULL_DATA")</f>
        <v/>
      </c>
      <c r="BI5">
        <f>BDS("CDTI US Equity","SUPPLY_CHAIN_SUPPLIERS_FULL_DATA")</f>
        <v/>
      </c>
      <c r="BW5">
        <f>BDS("CDTI US Equity","SUPPLY_CHAIN_CUSTOMERS_FULL_DATA")</f>
        <v/>
      </c>
      <c r="CM5">
        <f>BDS("9990527D US Equity","SUPPLY_CHAIN_SUPPLIERS_FULL_DATA")</f>
        <v/>
      </c>
      <c r="DA5">
        <f>BDS("9990527D US Equity","SUPPLY_CHAIN_CUSTOMERS_FULL_DATA")</f>
        <v/>
      </c>
      <c r="DQ5">
        <f>BDS("CACI US Equity","SUPPLY_CHAIN_SUPPLIERS_FULL_DATA")</f>
        <v/>
      </c>
      <c r="EE5">
        <f>BDS("CACI US Equity","SUPPLY_CHAIN_CUSTOMERS_FULL_DATA")</f>
        <v/>
      </c>
      <c r="EU5">
        <f>BDS("MTSC US Equity","SUPPLY_CHAIN_SUPPLIERS_FULL_DATA")</f>
        <v/>
      </c>
      <c r="FI5">
        <f>BDS("MTSC US Equity","SUPPLY_CHAIN_CUSTOMERS_FULL_DATA")</f>
        <v/>
      </c>
      <c r="FY5">
        <f>BDS("ABCB US Equity","SUPPLY_CHAIN_SUPPLIERS_FULL_DATA")</f>
        <v/>
      </c>
      <c r="GM5">
        <f>BDS("ABCB US Equity","SUPPLY_CHAIN_CUSTOMERS_FULL_DATA")</f>
        <v/>
      </c>
      <c r="HC5">
        <f>BDS("CLRO US Equity","SUPPLY_CHAIN_SUPPLIERS_FULL_DATA")</f>
        <v/>
      </c>
      <c r="HQ5">
        <f>BDS("CLRO US Equity","SUPPLY_CHAIN_CUSTOMERS_FULL_DATA")</f>
        <v/>
      </c>
      <c r="IG5">
        <f>BDS("0948669D US Equity","SUPPLY_CHAIN_SUPPLIERS_FULL_DATA")</f>
        <v/>
      </c>
      <c r="IU5">
        <f>BDS("0948669D US Equity","SUPPLY_CHAIN_CUSTOMERS_FULL_DATA")</f>
        <v/>
      </c>
      <c r="JK5">
        <f>BDS("78651Q US Equity","SUPPLY_CHAIN_SUPPLIERS_FULL_DATA")</f>
        <v/>
      </c>
      <c r="JY5">
        <f>BDS("78651Q US Equity","SUPPLY_CHAIN_CUSTOMERS_FULL_DATA")</f>
        <v/>
      </c>
      <c r="KO5">
        <f>BDS("SUSQ US Equity","SUPPLY_CHAIN_SUPPLIERS_FULL_DATA")</f>
        <v/>
      </c>
      <c r="LC5">
        <f>BDS("SUSQ US Equity","SUPPLY_CHAIN_CUSTOMERS_FULL_DATA")</f>
        <v/>
      </c>
      <c r="LS5">
        <f>BDS("1986522D US Equity","SUPPLY_CHAIN_SUPPLIERS_FULL_DATA")</f>
        <v/>
      </c>
      <c r="MG5">
        <f>BDS("1986522D US Equity","SUPPLY_CHAIN_CUSTOMERS_FULL_DATA")</f>
        <v/>
      </c>
      <c r="MW5">
        <f>BDS("KTYB US Equity","SUPPLY_CHAIN_SUPPLIERS_FULL_DATA")</f>
        <v/>
      </c>
      <c r="NK5">
        <f>BDS("KTYB US Equity","SUPPLY_CHAIN_CUSTOMERS_FULL_DATA")</f>
        <v/>
      </c>
      <c r="OA5">
        <f>BDS("NOVB US Equity","SUPPLY_CHAIN_SUPPLIERS_FULL_DATA")</f>
        <v/>
      </c>
      <c r="OO5">
        <f>BDS("NOVB US Equity","SUPPLY_CHAIN_CUSTOMERS_FULL_DATA")</f>
        <v/>
      </c>
      <c r="PE5">
        <f>BDS("HRLY US Equity","SUPPLY_CHAIN_SUPPLIERS_FULL_DATA")</f>
        <v/>
      </c>
      <c r="PS5">
        <f>BDS("HRLY US Equity","SUPPLY_CHAIN_CUSTOMERS_FULL_DATA")</f>
        <v/>
      </c>
      <c r="QI5">
        <f>BDS("PVLY US Equity","SUPPLY_CHAIN_SUPPLIERS_FULL_DATA")</f>
        <v/>
      </c>
      <c r="QW5">
        <f>BDS("PVLY US Equity","SUPPLY_CHAIN_CUSTOMERS_FULL_DATA")</f>
        <v/>
      </c>
      <c r="RM5">
        <f>BDS("1927294D US Equity","SUPPLY_CHAIN_SUPPLIERS_FULL_DATA")</f>
        <v/>
      </c>
      <c r="SA5">
        <f>BDS("1927294D US Equity","SUPPLY_CHAIN_CUSTOMERS_FULL_DATA")</f>
        <v/>
      </c>
      <c r="SQ5">
        <f>BDS("3129880Q US Equity","SUPPLY_CHAIN_SUPPLIERS_FULL_DATA")</f>
        <v/>
      </c>
      <c r="TE5">
        <f>BDS("3129880Q US Equity","SUPPLY_CHAIN_CUSTOMERS_FULL_DATA")</f>
        <v/>
      </c>
      <c r="TU5">
        <f>BDS("1850925D US Equity","SUPPLY_CHAIN_SUPPLIERS_FULL_DATA")</f>
        <v/>
      </c>
      <c r="UI5">
        <f>BDS("1850925D US Equity","SUPPLY_CHAIN_CUSTOMERS_FULL_DATA")</f>
        <v/>
      </c>
      <c r="UY5">
        <f>BDS("COFS US Equity","SUPPLY_CHAIN_SUPPLIERS_FULL_DATA")</f>
        <v/>
      </c>
      <c r="VM5">
        <f>BDS("COFS US Equity","SUPPLY_CHAIN_CUSTOMERS_FULL_DATA")</f>
        <v/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4601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4602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4603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4604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4605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4606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4607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4608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4609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4610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4611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4612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4613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4614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4615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4616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4617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4618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4619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4620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RSFC US Equity</t>
        </is>
      </c>
      <c r="AE2" s="3" t="inlineStr">
        <is>
          <t>FBNC US Equity</t>
        </is>
      </c>
      <c r="BI2" s="3" t="inlineStr">
        <is>
          <t>CWBC US Equity</t>
        </is>
      </c>
      <c r="CM2" s="3" t="inlineStr">
        <is>
          <t>CZFS US Equity</t>
        </is>
      </c>
      <c r="DQ2" s="3" t="inlineStr">
        <is>
          <t>HBOS US Equity</t>
        </is>
      </c>
      <c r="EU2" s="3" t="inlineStr">
        <is>
          <t>NCOG US Equity</t>
        </is>
      </c>
      <c r="FY2" s="3" t="inlineStr">
        <is>
          <t>NUI US Equity</t>
        </is>
      </c>
      <c r="HC2" s="3" t="inlineStr">
        <is>
          <t>WCBO US Equity</t>
        </is>
      </c>
      <c r="IG2" s="3" t="inlineStr">
        <is>
          <t>ABVV US Equity</t>
        </is>
      </c>
      <c r="JK2" s="3" t="inlineStr">
        <is>
          <t>2078185D US Equity</t>
        </is>
      </c>
      <c r="KO2" s="3" t="inlineStr">
        <is>
          <t>GNSC US Equity</t>
        </is>
      </c>
      <c r="LS2" s="3" t="inlineStr">
        <is>
          <t>MSFG US Equity</t>
        </is>
      </c>
      <c r="MW2" s="3" t="inlineStr">
        <is>
          <t>FBNC US Equity</t>
        </is>
      </c>
      <c r="OA2" s="3" t="inlineStr">
        <is>
          <t>UBFO US Equity</t>
        </is>
      </c>
      <c r="PE2" s="3" t="inlineStr">
        <is>
          <t>JH US Equity</t>
        </is>
      </c>
      <c r="QI2" s="3" t="inlineStr">
        <is>
          <t>1495307D US Equity</t>
        </is>
      </c>
      <c r="RM2" s="3" t="inlineStr">
        <is>
          <t>CPSS US Equity</t>
        </is>
      </c>
      <c r="SQ2" s="3" t="inlineStr">
        <is>
          <t>ATVI US Equity</t>
        </is>
      </c>
      <c r="TU2" s="3" t="inlineStr">
        <is>
          <t>0203524D US Equity</t>
        </is>
      </c>
      <c r="UY2" s="3" t="inlineStr">
        <is>
          <t>SFFB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BDS("RSFC US Equity","SUPPLY_CHAIN_SUPPLIERS_FULL_DATA")</f>
        <v/>
      </c>
      <c r="O5">
        <f>BDS("RSFC US Equity","SUPPLY_CHAIN_CUSTOMERS_FULL_DATA")</f>
        <v/>
      </c>
      <c r="AE5">
        <f>BDS("FBNC US Equity","SUPPLY_CHAIN_SUPPLIERS_FULL_DATA")</f>
        <v/>
      </c>
      <c r="AS5">
        <f>BDS("FBNC US Equity","SUPPLY_CHAIN_CUSTOMERS_FULL_DATA")</f>
        <v/>
      </c>
      <c r="BI5">
        <f>BDS("CWBC US Equity","SUPPLY_CHAIN_SUPPLIERS_FULL_DATA")</f>
        <v/>
      </c>
      <c r="BW5">
        <f>BDS("CWBC US Equity","SUPPLY_CHAIN_CUSTOMERS_FULL_DATA")</f>
        <v/>
      </c>
      <c r="CM5">
        <f>BDS("CZFS US Equity","SUPPLY_CHAIN_SUPPLIERS_FULL_DATA")</f>
        <v/>
      </c>
      <c r="DA5">
        <f>BDS("CZFS US Equity","SUPPLY_CHAIN_CUSTOMERS_FULL_DATA")</f>
        <v/>
      </c>
      <c r="DQ5">
        <f>BDS("HBOS US Equity","SUPPLY_CHAIN_SUPPLIERS_FULL_DATA")</f>
        <v/>
      </c>
      <c r="EE5">
        <f>BDS("HBOS US Equity","SUPPLY_CHAIN_CUSTOMERS_FULL_DATA")</f>
        <v/>
      </c>
      <c r="EU5">
        <f>BDS("NCOG US Equity","SUPPLY_CHAIN_SUPPLIERS_FULL_DATA")</f>
        <v/>
      </c>
      <c r="FI5">
        <f>BDS("NCOG US Equity","SUPPLY_CHAIN_CUSTOMERS_FULL_DATA")</f>
        <v/>
      </c>
      <c r="FY5">
        <f>BDS("NUI US Equity","SUPPLY_CHAIN_SUPPLIERS_FULL_DATA")</f>
        <v/>
      </c>
      <c r="GM5">
        <f>BDS("NUI US Equity","SUPPLY_CHAIN_CUSTOMERS_FULL_DATA")</f>
        <v/>
      </c>
      <c r="HC5">
        <f>BDS("WCBO US Equity","SUPPLY_CHAIN_SUPPLIERS_FULL_DATA")</f>
        <v/>
      </c>
      <c r="HQ5">
        <f>BDS("WCBO US Equity","SUPPLY_CHAIN_CUSTOMERS_FULL_DATA")</f>
        <v/>
      </c>
      <c r="IG5">
        <f>BDS("ABVV US Equity","SUPPLY_CHAIN_SUPPLIERS_FULL_DATA")</f>
        <v/>
      </c>
      <c r="IU5">
        <f>BDS("ABVV US Equity","SUPPLY_CHAIN_CUSTOMERS_FULL_DATA")</f>
        <v/>
      </c>
      <c r="JK5">
        <f>BDS("2078185D US Equity","SUPPLY_CHAIN_SUPPLIERS_FULL_DATA")</f>
        <v/>
      </c>
      <c r="JY5">
        <f>BDS("2078185D US Equity","SUPPLY_CHAIN_CUSTOMERS_FULL_DATA")</f>
        <v/>
      </c>
      <c r="KO5">
        <f>BDS("GNSC US Equity","SUPPLY_CHAIN_SUPPLIERS_FULL_DATA")</f>
        <v/>
      </c>
      <c r="LC5">
        <f>BDS("GNSC US Equity","SUPPLY_CHAIN_CUSTOMERS_FULL_DATA")</f>
        <v/>
      </c>
      <c r="LS5">
        <f>BDS("MSFG US Equity","SUPPLY_CHAIN_SUPPLIERS_FULL_DATA")</f>
        <v/>
      </c>
      <c r="MG5">
        <f>BDS("MSFG US Equity","SUPPLY_CHAIN_CUSTOMERS_FULL_DATA")</f>
        <v/>
      </c>
      <c r="MW5">
        <f>BDS("FBNC US Equity","SUPPLY_CHAIN_SUPPLIERS_FULL_DATA")</f>
        <v/>
      </c>
      <c r="NK5">
        <f>BDS("FBNC US Equity","SUPPLY_CHAIN_CUSTOMERS_FULL_DATA")</f>
        <v/>
      </c>
      <c r="OA5">
        <f>BDS("UBFO US Equity","SUPPLY_CHAIN_SUPPLIERS_FULL_DATA")</f>
        <v/>
      </c>
      <c r="OO5">
        <f>BDS("UBFO US Equity","SUPPLY_CHAIN_CUSTOMERS_FULL_DATA")</f>
        <v/>
      </c>
      <c r="PE5">
        <f>BDS("JH US Equity","SUPPLY_CHAIN_SUPPLIERS_FULL_DATA")</f>
        <v/>
      </c>
      <c r="PS5">
        <f>BDS("JH US Equity","SUPPLY_CHAIN_CUSTOMERS_FULL_DATA")</f>
        <v/>
      </c>
      <c r="QI5">
        <f>BDS("1495307D US Equity","SUPPLY_CHAIN_SUPPLIERS_FULL_DATA")</f>
        <v/>
      </c>
      <c r="QW5">
        <f>BDS("1495307D US Equity","SUPPLY_CHAIN_CUSTOMERS_FULL_DATA")</f>
        <v/>
      </c>
      <c r="RM5">
        <f>BDS("CPSS US Equity","SUPPLY_CHAIN_SUPPLIERS_FULL_DATA")</f>
        <v/>
      </c>
      <c r="SA5">
        <f>BDS("CPSS US Equity","SUPPLY_CHAIN_CUSTOMERS_FULL_DATA")</f>
        <v/>
      </c>
      <c r="SQ5">
        <f>BDS("ATVI US Equity","SUPPLY_CHAIN_SUPPLIERS_FULL_DATA")</f>
        <v/>
      </c>
      <c r="TE5">
        <f>BDS("ATVI US Equity","SUPPLY_CHAIN_CUSTOMERS_FULL_DATA")</f>
        <v/>
      </c>
      <c r="TU5">
        <f>BDS("0203524D US Equity","SUPPLY_CHAIN_SUPPLIERS_FULL_DATA")</f>
        <v/>
      </c>
      <c r="UI5">
        <f>BDS("0203524D US Equity","SUPPLY_CHAIN_CUSTOMERS_FULL_DATA")</f>
        <v/>
      </c>
      <c r="UY5">
        <f>BDS("SFFB US Equity","SUPPLY_CHAIN_SUPPLIERS_FULL_DATA")</f>
        <v/>
      </c>
      <c r="VM5">
        <f>BDS("SFFB US Equity","SUPPLY_CHAIN_CUSTOMERS_FULL_DATA")</f>
        <v/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4621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4622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4623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4624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4625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4626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4627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4628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4629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4630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4631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4632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4633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4634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4635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4636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4637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4638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4639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4640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PFSW US Equity</t>
        </is>
      </c>
      <c r="AE2" s="3" t="inlineStr">
        <is>
          <t>STBA US Equity</t>
        </is>
      </c>
      <c r="BI2" s="3" t="inlineStr">
        <is>
          <t>MNTG US Equity</t>
        </is>
      </c>
      <c r="CM2" s="3" t="inlineStr">
        <is>
          <t>NASB US Equity</t>
        </is>
      </c>
      <c r="DQ2" s="3" t="inlineStr">
        <is>
          <t>FVCCQ US Equity</t>
        </is>
      </c>
      <c r="EU2" s="3" t="inlineStr">
        <is>
          <t>LSBG US Equity</t>
        </is>
      </c>
      <c r="FY2" s="3" t="inlineStr">
        <is>
          <t>CMTY US Equity</t>
        </is>
      </c>
      <c r="HC2" s="3" t="inlineStr">
        <is>
          <t>AAME US Equity</t>
        </is>
      </c>
      <c r="IG2" s="3" t="inlineStr">
        <is>
          <t>MCSIQ US Equity</t>
        </is>
      </c>
      <c r="JK2" s="3" t="inlineStr">
        <is>
          <t>CHMG US Equity</t>
        </is>
      </c>
      <c r="KO2" s="3" t="inlineStr">
        <is>
          <t>WBS US Equity</t>
        </is>
      </c>
      <c r="LS2" s="3" t="inlineStr">
        <is>
          <t>FCCY US Equity</t>
        </is>
      </c>
      <c r="MW2" s="3" t="inlineStr">
        <is>
          <t>LUNA US Equity</t>
        </is>
      </c>
      <c r="OA2" s="3" t="inlineStr">
        <is>
          <t>NVTAQ US Equity</t>
        </is>
      </c>
      <c r="PE2" s="3" t="inlineStr">
        <is>
          <t>250642Q US Equity</t>
        </is>
      </c>
      <c r="QI2" s="3" t="inlineStr">
        <is>
          <t>TMO US Equity</t>
        </is>
      </c>
      <c r="RM2" s="3" t="inlineStr">
        <is>
          <t>SSB US Equity</t>
        </is>
      </c>
      <c r="SQ2" s="3" t="inlineStr">
        <is>
          <t>RIBT US Equity</t>
        </is>
      </c>
      <c r="TU2" s="3" t="inlineStr">
        <is>
          <t>HWBK US Equity</t>
        </is>
      </c>
      <c r="UY2" s="3" t="inlineStr">
        <is>
          <t>UVSP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BDS("PFSW US Equity","SUPPLY_CHAIN_SUPPLIERS_FULL_DATA")</f>
        <v/>
      </c>
      <c r="O5">
        <f>BDS("PFSW US Equity","SUPPLY_CHAIN_CUSTOMERS_FULL_DATA")</f>
        <v/>
      </c>
      <c r="AE5">
        <f>BDS("STBA US Equity","SUPPLY_CHAIN_SUPPLIERS_FULL_DATA")</f>
        <v/>
      </c>
      <c r="AS5">
        <f>BDS("STBA US Equity","SUPPLY_CHAIN_CUSTOMERS_FULL_DATA")</f>
        <v/>
      </c>
      <c r="BI5">
        <f>BDS("MNTG US Equity","SUPPLY_CHAIN_SUPPLIERS_FULL_DATA")</f>
        <v/>
      </c>
      <c r="BW5">
        <f>BDS("MNTG US Equity","SUPPLY_CHAIN_CUSTOMERS_FULL_DATA")</f>
        <v/>
      </c>
      <c r="CM5">
        <f>BDS("NASB US Equity","SUPPLY_CHAIN_SUPPLIERS_FULL_DATA")</f>
        <v/>
      </c>
      <c r="DA5">
        <f>BDS("NASB US Equity","SUPPLY_CHAIN_CUSTOMERS_FULL_DATA")</f>
        <v/>
      </c>
      <c r="DQ5">
        <f>BDS("FVCCQ US Equity","SUPPLY_CHAIN_SUPPLIERS_FULL_DATA")</f>
        <v/>
      </c>
      <c r="EE5">
        <f>BDS("FVCCQ US Equity","SUPPLY_CHAIN_CUSTOMERS_FULL_DATA")</f>
        <v/>
      </c>
      <c r="EU5">
        <f>BDS("LSBG US Equity","SUPPLY_CHAIN_SUPPLIERS_FULL_DATA")</f>
        <v/>
      </c>
      <c r="FI5">
        <f>BDS("LSBG US Equity","SUPPLY_CHAIN_CUSTOMERS_FULL_DATA")</f>
        <v/>
      </c>
      <c r="FY5">
        <f>BDS("CMTY US Equity","SUPPLY_CHAIN_SUPPLIERS_FULL_DATA")</f>
        <v/>
      </c>
      <c r="GM5">
        <f>BDS("CMTY US Equity","SUPPLY_CHAIN_CUSTOMERS_FULL_DATA")</f>
        <v/>
      </c>
      <c r="HC5">
        <f>BDS("AAME US Equity","SUPPLY_CHAIN_SUPPLIERS_FULL_DATA")</f>
        <v/>
      </c>
      <c r="HQ5">
        <f>BDS("AAME US Equity","SUPPLY_CHAIN_CUSTOMERS_FULL_DATA")</f>
        <v/>
      </c>
      <c r="IG5">
        <f>BDS("MCSIQ US Equity","SUPPLY_CHAIN_SUPPLIERS_FULL_DATA")</f>
        <v/>
      </c>
      <c r="IU5">
        <f>BDS("MCSIQ US Equity","SUPPLY_CHAIN_CUSTOMERS_FULL_DATA")</f>
        <v/>
      </c>
      <c r="JK5">
        <f>BDS("CHMG US Equity","SUPPLY_CHAIN_SUPPLIERS_FULL_DATA")</f>
        <v/>
      </c>
      <c r="JY5">
        <f>BDS("CHMG US Equity","SUPPLY_CHAIN_CUSTOMERS_FULL_DATA")</f>
        <v/>
      </c>
      <c r="KO5">
        <f>BDS("WBS US Equity","SUPPLY_CHAIN_SUPPLIERS_FULL_DATA")</f>
        <v/>
      </c>
      <c r="LC5">
        <f>BDS("WBS US Equity","SUPPLY_CHAIN_CUSTOMERS_FULL_DATA")</f>
        <v/>
      </c>
      <c r="LS5">
        <f>BDS("FCCY US Equity","SUPPLY_CHAIN_SUPPLIERS_FULL_DATA")</f>
        <v/>
      </c>
      <c r="MG5">
        <f>BDS("FCCY US Equity","SUPPLY_CHAIN_CUSTOMERS_FULL_DATA")</f>
        <v/>
      </c>
      <c r="MW5">
        <f>BDS("LUNA US Equity","SUPPLY_CHAIN_SUPPLIERS_FULL_DATA")</f>
        <v/>
      </c>
      <c r="NK5">
        <f>BDS("LUNA US Equity","SUPPLY_CHAIN_CUSTOMERS_FULL_DATA")</f>
        <v/>
      </c>
      <c r="OA5">
        <f>BDS("NVTAQ US Equity","SUPPLY_CHAIN_SUPPLIERS_FULL_DATA")</f>
        <v/>
      </c>
      <c r="OO5">
        <f>BDS("NVTAQ US Equity","SUPPLY_CHAIN_CUSTOMERS_FULL_DATA")</f>
        <v/>
      </c>
      <c r="PE5">
        <f>BDS("250642Q US Equity","SUPPLY_CHAIN_SUPPLIERS_FULL_DATA")</f>
        <v/>
      </c>
      <c r="PS5">
        <f>BDS("250642Q US Equity","SUPPLY_CHAIN_CUSTOMERS_FULL_DATA")</f>
        <v/>
      </c>
      <c r="QI5">
        <f>BDS("TMO US Equity","SUPPLY_CHAIN_SUPPLIERS_FULL_DATA")</f>
        <v/>
      </c>
      <c r="QW5">
        <f>BDS("TMO US Equity","SUPPLY_CHAIN_CUSTOMERS_FULL_DATA")</f>
        <v/>
      </c>
      <c r="RM5">
        <f>BDS("SSB US Equity","SUPPLY_CHAIN_SUPPLIERS_FULL_DATA")</f>
        <v/>
      </c>
      <c r="SA5">
        <f>BDS("SSB US Equity","SUPPLY_CHAIN_CUSTOMERS_FULL_DATA")</f>
        <v/>
      </c>
      <c r="SQ5">
        <f>BDS("RIBT US Equity","SUPPLY_CHAIN_SUPPLIERS_FULL_DATA")</f>
        <v/>
      </c>
      <c r="TE5">
        <f>BDS("RIBT US Equity","SUPPLY_CHAIN_CUSTOMERS_FULL_DATA")</f>
        <v/>
      </c>
      <c r="TU5">
        <f>BDS("HWBK US Equity","SUPPLY_CHAIN_SUPPLIERS_FULL_DATA")</f>
        <v/>
      </c>
      <c r="UI5">
        <f>BDS("HWBK US Equity","SUPPLY_CHAIN_CUSTOMERS_FULL_DATA")</f>
        <v/>
      </c>
      <c r="UY5">
        <f>BDS("UVSP US Equity","SUPPLY_CHAIN_SUPPLIERS_FULL_DATA")</f>
        <v/>
      </c>
      <c r="VM5">
        <f>BDS("UVSP US Equity","SUPPLY_CHAIN_CUSTOMERS_FULL_DATA")</f>
        <v/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4641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4642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4643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4644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4645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4646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4647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4648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4649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4650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4651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4652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4653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4654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4655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4656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4657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4658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4659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4660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IOTS US Equity</t>
        </is>
      </c>
      <c r="AE2" s="3" t="inlineStr">
        <is>
          <t>SBLUQ US Equity</t>
        </is>
      </c>
      <c r="BI2" s="3" t="inlineStr">
        <is>
          <t>IHWY US Equity</t>
        </is>
      </c>
      <c r="CM2" s="3" t="inlineStr">
        <is>
          <t>FBA US Equity</t>
        </is>
      </c>
      <c r="DQ2" s="3" t="inlineStr">
        <is>
          <t>PBCO US Equity</t>
        </is>
      </c>
      <c r="EU2" s="3" t="inlineStr">
        <is>
          <t>TMD US Equity</t>
        </is>
      </c>
      <c r="FY2" s="3" t="inlineStr">
        <is>
          <t>WSBA US Equity</t>
        </is>
      </c>
      <c r="HC2" s="3" t="inlineStr">
        <is>
          <t>FPIC US Equity</t>
        </is>
      </c>
      <c r="IG2" s="3" t="inlineStr">
        <is>
          <t>MSBK US Equity</t>
        </is>
      </c>
      <c r="JK2" s="3" t="inlineStr">
        <is>
          <t>CEFC US Equity</t>
        </is>
      </c>
      <c r="KO2" s="3" t="inlineStr">
        <is>
          <t>IESC US Equity</t>
        </is>
      </c>
      <c r="LS2" s="3" t="inlineStr">
        <is>
          <t>MMBI US Equity</t>
        </is>
      </c>
      <c r="MW2" s="3" t="inlineStr">
        <is>
          <t>FISV US Equity</t>
        </is>
      </c>
      <c r="OA2" s="3" t="inlineStr">
        <is>
          <t>797725Q US Equity</t>
        </is>
      </c>
      <c r="PE2" s="3" t="inlineStr">
        <is>
          <t>PB US Equity</t>
        </is>
      </c>
      <c r="QI2" s="3" t="inlineStr">
        <is>
          <t>TNB US Equity</t>
        </is>
      </c>
      <c r="RM2" s="3" t="inlineStr">
        <is>
          <t>ORCL US Equity</t>
        </is>
      </c>
      <c r="SQ2" s="3" t="inlineStr">
        <is>
          <t>SMG US Equity</t>
        </is>
      </c>
      <c r="TU2" s="3" t="inlineStr">
        <is>
          <t>GELX US Equity</t>
        </is>
      </c>
      <c r="UY2" s="3" t="inlineStr">
        <is>
          <t>1255459D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BDS("IOTS US Equity","SUPPLY_CHAIN_SUPPLIERS_FULL_DATA")</f>
        <v/>
      </c>
      <c r="O5">
        <f>BDS("IOTS US Equity","SUPPLY_CHAIN_CUSTOMERS_FULL_DATA")</f>
        <v/>
      </c>
      <c r="AE5">
        <f>BDS("SBLUQ US Equity","SUPPLY_CHAIN_SUPPLIERS_FULL_DATA")</f>
        <v/>
      </c>
      <c r="AS5">
        <f>BDS("SBLUQ US Equity","SUPPLY_CHAIN_CUSTOMERS_FULL_DATA")</f>
        <v/>
      </c>
      <c r="BI5">
        <f>BDS("IHWY US Equity","SUPPLY_CHAIN_SUPPLIERS_FULL_DATA")</f>
        <v/>
      </c>
      <c r="BW5">
        <f>BDS("IHWY US Equity","SUPPLY_CHAIN_CUSTOMERS_FULL_DATA")</f>
        <v/>
      </c>
      <c r="CM5">
        <f>BDS("FBA US Equity","SUPPLY_CHAIN_SUPPLIERS_FULL_DATA")</f>
        <v/>
      </c>
      <c r="DA5">
        <f>BDS("FBA US Equity","SUPPLY_CHAIN_CUSTOMERS_FULL_DATA")</f>
        <v/>
      </c>
      <c r="DQ5">
        <f>BDS("PBCO US Equity","SUPPLY_CHAIN_SUPPLIERS_FULL_DATA")</f>
        <v/>
      </c>
      <c r="EE5">
        <f>BDS("PBCO US Equity","SUPPLY_CHAIN_CUSTOMERS_FULL_DATA")</f>
        <v/>
      </c>
      <c r="EU5">
        <f>BDS("TMD US Equity","SUPPLY_CHAIN_SUPPLIERS_FULL_DATA")</f>
        <v/>
      </c>
      <c r="FI5">
        <f>BDS("TMD US Equity","SUPPLY_CHAIN_CUSTOMERS_FULL_DATA")</f>
        <v/>
      </c>
      <c r="FY5">
        <f>BDS("WSBA US Equity","SUPPLY_CHAIN_SUPPLIERS_FULL_DATA")</f>
        <v/>
      </c>
      <c r="GM5">
        <f>BDS("WSBA US Equity","SUPPLY_CHAIN_CUSTOMERS_FULL_DATA")</f>
        <v/>
      </c>
      <c r="HC5">
        <f>BDS("FPIC US Equity","SUPPLY_CHAIN_SUPPLIERS_FULL_DATA")</f>
        <v/>
      </c>
      <c r="HQ5">
        <f>BDS("FPIC US Equity","SUPPLY_CHAIN_CUSTOMERS_FULL_DATA")</f>
        <v/>
      </c>
      <c r="IG5">
        <f>BDS("MSBK US Equity","SUPPLY_CHAIN_SUPPLIERS_FULL_DATA")</f>
        <v/>
      </c>
      <c r="IU5">
        <f>BDS("MSBK US Equity","SUPPLY_CHAIN_CUSTOMERS_FULL_DATA")</f>
        <v/>
      </c>
      <c r="JK5">
        <f>BDS("CEFC US Equity","SUPPLY_CHAIN_SUPPLIERS_FULL_DATA")</f>
        <v/>
      </c>
      <c r="JY5">
        <f>BDS("CEFC US Equity","SUPPLY_CHAIN_CUSTOMERS_FULL_DATA")</f>
        <v/>
      </c>
      <c r="KO5">
        <f>BDS("IESC US Equity","SUPPLY_CHAIN_SUPPLIERS_FULL_DATA")</f>
        <v/>
      </c>
      <c r="LC5">
        <f>BDS("IESC US Equity","SUPPLY_CHAIN_CUSTOMERS_FULL_DATA")</f>
        <v/>
      </c>
      <c r="LS5">
        <f>BDS("MMBI US Equity","SUPPLY_CHAIN_SUPPLIERS_FULL_DATA")</f>
        <v/>
      </c>
      <c r="MG5">
        <f>BDS("MMBI US Equity","SUPPLY_CHAIN_CUSTOMERS_FULL_DATA")</f>
        <v/>
      </c>
      <c r="MW5">
        <f>BDS("FISV US Equity","SUPPLY_CHAIN_SUPPLIERS_FULL_DATA")</f>
        <v/>
      </c>
      <c r="NK5">
        <f>BDS("FISV US Equity","SUPPLY_CHAIN_CUSTOMERS_FULL_DATA")</f>
        <v/>
      </c>
      <c r="OA5">
        <f>BDS("797725Q US Equity","SUPPLY_CHAIN_SUPPLIERS_FULL_DATA")</f>
        <v/>
      </c>
      <c r="OO5">
        <f>BDS("797725Q US Equity","SUPPLY_CHAIN_CUSTOMERS_FULL_DATA")</f>
        <v/>
      </c>
      <c r="PE5">
        <f>BDS("PB US Equity","SUPPLY_CHAIN_SUPPLIERS_FULL_DATA")</f>
        <v/>
      </c>
      <c r="PS5">
        <f>BDS("PB US Equity","SUPPLY_CHAIN_CUSTOMERS_FULL_DATA")</f>
        <v/>
      </c>
      <c r="QI5">
        <f>BDS("TNB US Equity","SUPPLY_CHAIN_SUPPLIERS_FULL_DATA")</f>
        <v/>
      </c>
      <c r="QW5">
        <f>BDS("TNB US Equity","SUPPLY_CHAIN_CUSTOMERS_FULL_DATA")</f>
        <v/>
      </c>
      <c r="RM5">
        <f>BDS("ORCL US Equity","SUPPLY_CHAIN_SUPPLIERS_FULL_DATA")</f>
        <v/>
      </c>
      <c r="SA5">
        <f>BDS("ORCL US Equity","SUPPLY_CHAIN_CUSTOMERS_FULL_DATA")</f>
        <v/>
      </c>
      <c r="SQ5">
        <f>BDS("SMG US Equity","SUPPLY_CHAIN_SUPPLIERS_FULL_DATA")</f>
        <v/>
      </c>
      <c r="TE5">
        <f>BDS("SMG US Equity","SUPPLY_CHAIN_CUSTOMERS_FULL_DATA")</f>
        <v/>
      </c>
      <c r="TU5">
        <f>BDS("GELX US Equity","SUPPLY_CHAIN_SUPPLIERS_FULL_DATA")</f>
        <v/>
      </c>
      <c r="UI5">
        <f>BDS("GELX US Equity","SUPPLY_CHAIN_CUSTOMERS_FULL_DATA")</f>
        <v/>
      </c>
      <c r="UY5">
        <f>BDS("1255459D US Equity","SUPPLY_CHAIN_SUPPLIERS_FULL_DATA")</f>
        <v/>
      </c>
      <c r="VM5">
        <f>BDS("1255459D US Equity","SUPPLY_CHAIN_CUSTOMERS_FULL_DATA")</f>
        <v/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4661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4662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4663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4664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4665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4666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4667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4668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4669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4670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4671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4672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4673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4674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4675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4676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4677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4678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4679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4680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ALB US Equity</t>
        </is>
      </c>
      <c r="AE2" s="3" t="inlineStr">
        <is>
          <t>BAGL US Equity</t>
        </is>
      </c>
      <c r="BI2" s="3" t="inlineStr">
        <is>
          <t>RVLT US Equity</t>
        </is>
      </c>
      <c r="CM2" s="3" t="inlineStr">
        <is>
          <t>OLBK US Equity</t>
        </is>
      </c>
      <c r="DQ2" s="3" t="inlineStr">
        <is>
          <t>BRC US Equity</t>
        </is>
      </c>
      <c r="EU2" s="3" t="inlineStr">
        <is>
          <t>CICN US Equity</t>
        </is>
      </c>
      <c r="FY2" s="3" t="inlineStr">
        <is>
          <t>VBFC US Equity</t>
        </is>
      </c>
      <c r="HC2" s="3" t="inlineStr">
        <is>
          <t>CERN US Equity</t>
        </is>
      </c>
      <c r="IG2" s="3" t="inlineStr">
        <is>
          <t>CWBC US Equity</t>
        </is>
      </c>
      <c r="JK2" s="3" t="inlineStr">
        <is>
          <t>HIND US Equity</t>
        </is>
      </c>
      <c r="KO2" s="3" t="inlineStr">
        <is>
          <t>PABK US Equity</t>
        </is>
      </c>
      <c r="LS2" s="3" t="inlineStr">
        <is>
          <t>BCML US Equity</t>
        </is>
      </c>
      <c r="MW2" s="3" t="inlineStr">
        <is>
          <t>696119Q US Equity</t>
        </is>
      </c>
      <c r="OA2" s="3" t="inlineStr">
        <is>
          <t>696119Q US Equity</t>
        </is>
      </c>
      <c r="PE2" s="3" t="inlineStr">
        <is>
          <t>1920486D US Equity</t>
        </is>
      </c>
      <c r="QI2" s="3" t="inlineStr">
        <is>
          <t>AMCS US Equity</t>
        </is>
      </c>
      <c r="RM2" s="3" t="inlineStr">
        <is>
          <t>PGEN US Equity</t>
        </is>
      </c>
      <c r="SQ2" s="3" t="inlineStr">
        <is>
          <t>LCNB US Equity</t>
        </is>
      </c>
      <c r="TU2" s="3" t="inlineStr">
        <is>
          <t>2860436Q US Equity</t>
        </is>
      </c>
      <c r="UY2" s="3" t="inlineStr">
        <is>
          <t>235982Q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BDS("ALB US Equity","SUPPLY_CHAIN_SUPPLIERS_FULL_DATA")</f>
        <v/>
      </c>
      <c r="O5">
        <f>BDS("ALB US Equity","SUPPLY_CHAIN_CUSTOMERS_FULL_DATA")</f>
        <v/>
      </c>
      <c r="AE5">
        <f>BDS("BAGL US Equity","SUPPLY_CHAIN_SUPPLIERS_FULL_DATA")</f>
        <v/>
      </c>
      <c r="AS5">
        <f>BDS("BAGL US Equity","SUPPLY_CHAIN_CUSTOMERS_FULL_DATA")</f>
        <v/>
      </c>
      <c r="BI5">
        <f>BDS("RVLT US Equity","SUPPLY_CHAIN_SUPPLIERS_FULL_DATA")</f>
        <v/>
      </c>
      <c r="BW5">
        <f>BDS("RVLT US Equity","SUPPLY_CHAIN_CUSTOMERS_FULL_DATA")</f>
        <v/>
      </c>
      <c r="CM5">
        <f>BDS("OLBK US Equity","SUPPLY_CHAIN_SUPPLIERS_FULL_DATA")</f>
        <v/>
      </c>
      <c r="DA5">
        <f>BDS("OLBK US Equity","SUPPLY_CHAIN_CUSTOMERS_FULL_DATA")</f>
        <v/>
      </c>
      <c r="DQ5">
        <f>BDS("BRC US Equity","SUPPLY_CHAIN_SUPPLIERS_FULL_DATA")</f>
        <v/>
      </c>
      <c r="EE5">
        <f>BDS("BRC US Equity","SUPPLY_CHAIN_CUSTOMERS_FULL_DATA")</f>
        <v/>
      </c>
      <c r="EU5">
        <f>BDS("CICN US Equity","SUPPLY_CHAIN_SUPPLIERS_FULL_DATA")</f>
        <v/>
      </c>
      <c r="FI5">
        <f>BDS("CICN US Equity","SUPPLY_CHAIN_CUSTOMERS_FULL_DATA")</f>
        <v/>
      </c>
      <c r="FY5">
        <f>BDS("VBFC US Equity","SUPPLY_CHAIN_SUPPLIERS_FULL_DATA")</f>
        <v/>
      </c>
      <c r="GM5">
        <f>BDS("VBFC US Equity","SUPPLY_CHAIN_CUSTOMERS_FULL_DATA")</f>
        <v/>
      </c>
      <c r="HC5">
        <f>BDS("CERN US Equity","SUPPLY_CHAIN_SUPPLIERS_FULL_DATA")</f>
        <v/>
      </c>
      <c r="HQ5">
        <f>BDS("CERN US Equity","SUPPLY_CHAIN_CUSTOMERS_FULL_DATA")</f>
        <v/>
      </c>
      <c r="IG5">
        <f>BDS("CWBC US Equity","SUPPLY_CHAIN_SUPPLIERS_FULL_DATA")</f>
        <v/>
      </c>
      <c r="IU5">
        <f>BDS("CWBC US Equity","SUPPLY_CHAIN_CUSTOMERS_FULL_DATA")</f>
        <v/>
      </c>
      <c r="JK5">
        <f>BDS("HIND US Equity","SUPPLY_CHAIN_SUPPLIERS_FULL_DATA")</f>
        <v/>
      </c>
      <c r="JY5">
        <f>BDS("HIND US Equity","SUPPLY_CHAIN_CUSTOMERS_FULL_DATA")</f>
        <v/>
      </c>
      <c r="KO5">
        <f>BDS("PABK US Equity","SUPPLY_CHAIN_SUPPLIERS_FULL_DATA")</f>
        <v/>
      </c>
      <c r="LC5">
        <f>BDS("PABK US Equity","SUPPLY_CHAIN_CUSTOMERS_FULL_DATA")</f>
        <v/>
      </c>
      <c r="LS5">
        <f>BDS("BCML US Equity","SUPPLY_CHAIN_SUPPLIERS_FULL_DATA")</f>
        <v/>
      </c>
      <c r="MG5">
        <f>BDS("BCML US Equity","SUPPLY_CHAIN_CUSTOMERS_FULL_DATA")</f>
        <v/>
      </c>
      <c r="MW5">
        <f>BDS("696119Q US Equity","SUPPLY_CHAIN_SUPPLIERS_FULL_DATA")</f>
        <v/>
      </c>
      <c r="NK5">
        <f>BDS("696119Q US Equity","SUPPLY_CHAIN_CUSTOMERS_FULL_DATA")</f>
        <v/>
      </c>
      <c r="OA5">
        <f>BDS("696119Q US Equity","SUPPLY_CHAIN_SUPPLIERS_FULL_DATA")</f>
        <v/>
      </c>
      <c r="OO5">
        <f>BDS("696119Q US Equity","SUPPLY_CHAIN_CUSTOMERS_FULL_DATA")</f>
        <v/>
      </c>
      <c r="PE5">
        <f>BDS("1920486D US Equity","SUPPLY_CHAIN_SUPPLIERS_FULL_DATA")</f>
        <v/>
      </c>
      <c r="PS5">
        <f>BDS("1920486D US Equity","SUPPLY_CHAIN_CUSTOMERS_FULL_DATA")</f>
        <v/>
      </c>
      <c r="QI5">
        <f>BDS("AMCS US Equity","SUPPLY_CHAIN_SUPPLIERS_FULL_DATA")</f>
        <v/>
      </c>
      <c r="QW5">
        <f>BDS("AMCS US Equity","SUPPLY_CHAIN_CUSTOMERS_FULL_DATA")</f>
        <v/>
      </c>
      <c r="RM5">
        <f>BDS("PGEN US Equity","SUPPLY_CHAIN_SUPPLIERS_FULL_DATA")</f>
        <v/>
      </c>
      <c r="SA5">
        <f>BDS("PGEN US Equity","SUPPLY_CHAIN_CUSTOMERS_FULL_DATA")</f>
        <v/>
      </c>
      <c r="SQ5">
        <f>BDS("LCNB US Equity","SUPPLY_CHAIN_SUPPLIERS_FULL_DATA")</f>
        <v/>
      </c>
      <c r="TE5">
        <f>BDS("LCNB US Equity","SUPPLY_CHAIN_CUSTOMERS_FULL_DATA")</f>
        <v/>
      </c>
      <c r="TU5">
        <f>BDS("2860436Q US Equity","SUPPLY_CHAIN_SUPPLIERS_FULL_DATA")</f>
        <v/>
      </c>
      <c r="UI5">
        <f>BDS("2860436Q US Equity","SUPPLY_CHAIN_CUSTOMERS_FULL_DATA")</f>
        <v/>
      </c>
      <c r="UY5">
        <f>BDS("235982Q US Equity","SUPPLY_CHAIN_SUPPLIERS_FULL_DATA")</f>
        <v/>
      </c>
      <c r="VM5">
        <f>BDS("235982Q US Equity","SUPPLY_CHAIN_CUSTOMERS_FULL_DATA")</f>
        <v/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4681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4682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4683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4684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4685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4686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4687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4688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4689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4690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4691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4692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4693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4694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4695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4696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4697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4698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4699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4700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GEN US Equity</t>
        </is>
      </c>
      <c r="AE2" s="3" t="inlineStr">
        <is>
          <t>SORCQ US Equity</t>
        </is>
      </c>
      <c r="BI2" s="3" t="inlineStr">
        <is>
          <t>0959089D US Equity</t>
        </is>
      </c>
      <c r="CM2" s="3" t="inlineStr">
        <is>
          <t>SNV US Equity</t>
        </is>
      </c>
      <c r="DQ2" s="3" t="inlineStr">
        <is>
          <t>SLI US Equity</t>
        </is>
      </c>
      <c r="EU2" s="3" t="inlineStr">
        <is>
          <t>CBKN US Equity</t>
        </is>
      </c>
      <c r="FY2" s="3" t="inlineStr">
        <is>
          <t>NPBC US Equity</t>
        </is>
      </c>
      <c r="HC2" s="3" t="inlineStr">
        <is>
          <t>INHX US Equity</t>
        </is>
      </c>
      <c r="IG2" s="3" t="inlineStr">
        <is>
          <t>KTO US Equity</t>
        </is>
      </c>
      <c r="JK2" s="3" t="inlineStr">
        <is>
          <t>UPLD US Equity</t>
        </is>
      </c>
      <c r="KO2" s="3" t="inlineStr">
        <is>
          <t>CBRI US Equity</t>
        </is>
      </c>
      <c r="LS2" s="3" t="inlineStr">
        <is>
          <t>MCTIQ US Equity</t>
        </is>
      </c>
      <c r="MW2" s="3" t="inlineStr">
        <is>
          <t>GRAN US Equity</t>
        </is>
      </c>
      <c r="OA2" s="3" t="inlineStr">
        <is>
          <t>BCSB US Equity</t>
        </is>
      </c>
      <c r="PE2" s="3" t="inlineStr">
        <is>
          <t>DAEG US Equity</t>
        </is>
      </c>
      <c r="QI2" s="3" t="inlineStr">
        <is>
          <t>CNMD US Equity</t>
        </is>
      </c>
      <c r="RM2" s="3" t="inlineStr">
        <is>
          <t>TLAG US Equity</t>
        </is>
      </c>
      <c r="SQ2" s="3" t="inlineStr">
        <is>
          <t>EXEL US Equity</t>
        </is>
      </c>
      <c r="TU2" s="3" t="inlineStr">
        <is>
          <t>BRKL US Equity</t>
        </is>
      </c>
      <c r="UY2" s="3" t="inlineStr">
        <is>
          <t>OSKY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BDS("GEN US Equity","SUPPLY_CHAIN_SUPPLIERS_FULL_DATA")</f>
        <v/>
      </c>
      <c r="O5">
        <f>BDS("GEN US Equity","SUPPLY_CHAIN_CUSTOMERS_FULL_DATA")</f>
        <v/>
      </c>
      <c r="AE5">
        <f>BDS("SORCQ US Equity","SUPPLY_CHAIN_SUPPLIERS_FULL_DATA")</f>
        <v/>
      </c>
      <c r="AS5">
        <f>BDS("SORCQ US Equity","SUPPLY_CHAIN_CUSTOMERS_FULL_DATA")</f>
        <v/>
      </c>
      <c r="BI5">
        <f>BDS("0959089D US Equity","SUPPLY_CHAIN_SUPPLIERS_FULL_DATA")</f>
        <v/>
      </c>
      <c r="BW5">
        <f>BDS("0959089D US Equity","SUPPLY_CHAIN_CUSTOMERS_FULL_DATA")</f>
        <v/>
      </c>
      <c r="CM5">
        <f>BDS("SNV US Equity","SUPPLY_CHAIN_SUPPLIERS_FULL_DATA")</f>
        <v/>
      </c>
      <c r="DA5">
        <f>BDS("SNV US Equity","SUPPLY_CHAIN_CUSTOMERS_FULL_DATA")</f>
        <v/>
      </c>
      <c r="DQ5">
        <f>BDS("SLI US Equity","SUPPLY_CHAIN_SUPPLIERS_FULL_DATA")</f>
        <v/>
      </c>
      <c r="EE5">
        <f>BDS("SLI US Equity","SUPPLY_CHAIN_CUSTOMERS_FULL_DATA")</f>
        <v/>
      </c>
      <c r="EU5">
        <f>BDS("CBKN US Equity","SUPPLY_CHAIN_SUPPLIERS_FULL_DATA")</f>
        <v/>
      </c>
      <c r="FI5">
        <f>BDS("CBKN US Equity","SUPPLY_CHAIN_CUSTOMERS_FULL_DATA")</f>
        <v/>
      </c>
      <c r="FY5">
        <f>BDS("NPBC US Equity","SUPPLY_CHAIN_SUPPLIERS_FULL_DATA")</f>
        <v/>
      </c>
      <c r="GM5">
        <f>BDS("NPBC US Equity","SUPPLY_CHAIN_CUSTOMERS_FULL_DATA")</f>
        <v/>
      </c>
      <c r="HC5">
        <f>BDS("INHX US Equity","SUPPLY_CHAIN_SUPPLIERS_FULL_DATA")</f>
        <v/>
      </c>
      <c r="HQ5">
        <f>BDS("INHX US Equity","SUPPLY_CHAIN_CUSTOMERS_FULL_DATA")</f>
        <v/>
      </c>
      <c r="IG5">
        <f>BDS("KTO US Equity","SUPPLY_CHAIN_SUPPLIERS_FULL_DATA")</f>
        <v/>
      </c>
      <c r="IU5">
        <f>BDS("KTO US Equity","SUPPLY_CHAIN_CUSTOMERS_FULL_DATA")</f>
        <v/>
      </c>
      <c r="JK5">
        <f>BDS("UPLD US Equity","SUPPLY_CHAIN_SUPPLIERS_FULL_DATA")</f>
        <v/>
      </c>
      <c r="JY5">
        <f>BDS("UPLD US Equity","SUPPLY_CHAIN_CUSTOMERS_FULL_DATA")</f>
        <v/>
      </c>
      <c r="KO5">
        <f>BDS("CBRI US Equity","SUPPLY_CHAIN_SUPPLIERS_FULL_DATA")</f>
        <v/>
      </c>
      <c r="LC5">
        <f>BDS("CBRI US Equity","SUPPLY_CHAIN_CUSTOMERS_FULL_DATA")</f>
        <v/>
      </c>
      <c r="LS5">
        <f>BDS("MCTIQ US Equity","SUPPLY_CHAIN_SUPPLIERS_FULL_DATA")</f>
        <v/>
      </c>
      <c r="MG5">
        <f>BDS("MCTIQ US Equity","SUPPLY_CHAIN_CUSTOMERS_FULL_DATA")</f>
        <v/>
      </c>
      <c r="MW5">
        <f>BDS("GRAN US Equity","SUPPLY_CHAIN_SUPPLIERS_FULL_DATA")</f>
        <v/>
      </c>
      <c r="NK5">
        <f>BDS("GRAN US Equity","SUPPLY_CHAIN_CUSTOMERS_FULL_DATA")</f>
        <v/>
      </c>
      <c r="OA5">
        <f>BDS("BCSB US Equity","SUPPLY_CHAIN_SUPPLIERS_FULL_DATA")</f>
        <v/>
      </c>
      <c r="OO5">
        <f>BDS("BCSB US Equity","SUPPLY_CHAIN_CUSTOMERS_FULL_DATA")</f>
        <v/>
      </c>
      <c r="PE5">
        <f>BDS("DAEG US Equity","SUPPLY_CHAIN_SUPPLIERS_FULL_DATA")</f>
        <v/>
      </c>
      <c r="PS5">
        <f>BDS("DAEG US Equity","SUPPLY_CHAIN_CUSTOMERS_FULL_DATA")</f>
        <v/>
      </c>
      <c r="QI5">
        <f>BDS("CNMD US Equity","SUPPLY_CHAIN_SUPPLIERS_FULL_DATA")</f>
        <v/>
      </c>
      <c r="QW5">
        <f>BDS("CNMD US Equity","SUPPLY_CHAIN_CUSTOMERS_FULL_DATA")</f>
        <v/>
      </c>
      <c r="RM5">
        <f>BDS("TLAG US Equity","SUPPLY_CHAIN_SUPPLIERS_FULL_DATA")</f>
        <v/>
      </c>
      <c r="SA5">
        <f>BDS("TLAG US Equity","SUPPLY_CHAIN_CUSTOMERS_FULL_DATA")</f>
        <v/>
      </c>
      <c r="SQ5">
        <f>BDS("EXEL US Equity","SUPPLY_CHAIN_SUPPLIERS_FULL_DATA")</f>
        <v/>
      </c>
      <c r="TE5">
        <f>BDS("EXEL US Equity","SUPPLY_CHAIN_CUSTOMERS_FULL_DATA")</f>
        <v/>
      </c>
      <c r="TU5">
        <f>BDS("BRKL US Equity","SUPPLY_CHAIN_SUPPLIERS_FULL_DATA")</f>
        <v/>
      </c>
      <c r="UI5">
        <f>BDS("BRKL US Equity","SUPPLY_CHAIN_CUSTOMERS_FULL_DATA")</f>
        <v/>
      </c>
      <c r="UY5">
        <f>BDS("OSKY US Equity","SUPPLY_CHAIN_SUPPLIERS_FULL_DATA")</f>
        <v/>
      </c>
      <c r="VM5">
        <f>BDS("OSKY US Equity","SUPPLY_CHAIN_CUSTOMERS_FULL_DATA")</f>
        <v/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4701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4702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4703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4704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4705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4706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4707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4708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4709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4710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4711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4712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4713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4714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4715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4716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4717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4718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4719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4720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QCOR US Equity</t>
        </is>
      </c>
      <c r="AE2" s="3" t="inlineStr">
        <is>
          <t>CFOK US Equity</t>
        </is>
      </c>
      <c r="BI2" s="3" t="inlineStr">
        <is>
          <t>ELED US Equity</t>
        </is>
      </c>
      <c r="CM2" s="3" t="inlineStr">
        <is>
          <t>RSYS US Equity</t>
        </is>
      </c>
      <c r="DQ2" s="3" t="inlineStr">
        <is>
          <t>PGICQ US Equity</t>
        </is>
      </c>
      <c r="EU2" s="3" t="inlineStr">
        <is>
          <t>PACW US Equity</t>
        </is>
      </c>
      <c r="FY2" s="3" t="inlineStr">
        <is>
          <t>DRMO US Equity</t>
        </is>
      </c>
      <c r="HC2" s="3" t="inlineStr">
        <is>
          <t>FIBK US Equity</t>
        </is>
      </c>
      <c r="IG2" s="3" t="inlineStr">
        <is>
          <t>CTWS US Equity</t>
        </is>
      </c>
      <c r="JK2" s="3" t="inlineStr">
        <is>
          <t>HSP US Equity</t>
        </is>
      </c>
      <c r="KO2" s="3" t="inlineStr">
        <is>
          <t>UCBC US Equity</t>
        </is>
      </c>
      <c r="LS2" s="3" t="inlineStr">
        <is>
          <t>0852980D US Equity</t>
        </is>
      </c>
      <c r="MW2" s="3" t="inlineStr">
        <is>
          <t>FBA US Equity</t>
        </is>
      </c>
      <c r="OA2" s="3" t="inlineStr">
        <is>
          <t>PDCE US Equity</t>
        </is>
      </c>
      <c r="PE2" s="3" t="inlineStr">
        <is>
          <t>GSON US Equity</t>
        </is>
      </c>
      <c r="QI2" s="3" t="inlineStr">
        <is>
          <t>TIBX US Equity</t>
        </is>
      </c>
      <c r="RM2" s="3" t="inlineStr">
        <is>
          <t>MDT US Equity</t>
        </is>
      </c>
      <c r="SQ2" s="3" t="inlineStr">
        <is>
          <t>FCEC US Equity</t>
        </is>
      </c>
      <c r="TU2" s="3" t="inlineStr">
        <is>
          <t>LNCB US Equity</t>
        </is>
      </c>
      <c r="UY2" s="3" t="inlineStr">
        <is>
          <t>MROI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BDS("QCOR US Equity","SUPPLY_CHAIN_SUPPLIERS_FULL_DATA")</f>
        <v/>
      </c>
      <c r="O5">
        <f>BDS("QCOR US Equity","SUPPLY_CHAIN_CUSTOMERS_FULL_DATA")</f>
        <v/>
      </c>
      <c r="AE5">
        <f>BDS("CFOK US Equity","SUPPLY_CHAIN_SUPPLIERS_FULL_DATA")</f>
        <v/>
      </c>
      <c r="AS5">
        <f>BDS("CFOK US Equity","SUPPLY_CHAIN_CUSTOMERS_FULL_DATA")</f>
        <v/>
      </c>
      <c r="BI5">
        <f>BDS("ELED US Equity","SUPPLY_CHAIN_SUPPLIERS_FULL_DATA")</f>
        <v/>
      </c>
      <c r="BW5">
        <f>BDS("ELED US Equity","SUPPLY_CHAIN_CUSTOMERS_FULL_DATA")</f>
        <v/>
      </c>
      <c r="CM5">
        <f>BDS("RSYS US Equity","SUPPLY_CHAIN_SUPPLIERS_FULL_DATA")</f>
        <v/>
      </c>
      <c r="DA5">
        <f>BDS("RSYS US Equity","SUPPLY_CHAIN_CUSTOMERS_FULL_DATA")</f>
        <v/>
      </c>
      <c r="DQ5">
        <f>BDS("PGICQ US Equity","SUPPLY_CHAIN_SUPPLIERS_FULL_DATA")</f>
        <v/>
      </c>
      <c r="EE5">
        <f>BDS("PGICQ US Equity","SUPPLY_CHAIN_CUSTOMERS_FULL_DATA")</f>
        <v/>
      </c>
      <c r="EU5">
        <f>BDS("PACW US Equity","SUPPLY_CHAIN_SUPPLIERS_FULL_DATA")</f>
        <v/>
      </c>
      <c r="FI5">
        <f>BDS("PACW US Equity","SUPPLY_CHAIN_CUSTOMERS_FULL_DATA")</f>
        <v/>
      </c>
      <c r="FY5">
        <f>BDS("DRMO US Equity","SUPPLY_CHAIN_SUPPLIERS_FULL_DATA")</f>
        <v/>
      </c>
      <c r="GM5">
        <f>BDS("DRMO US Equity","SUPPLY_CHAIN_CUSTOMERS_FULL_DATA")</f>
        <v/>
      </c>
      <c r="HC5">
        <f>BDS("FIBK US Equity","SUPPLY_CHAIN_SUPPLIERS_FULL_DATA")</f>
        <v/>
      </c>
      <c r="HQ5">
        <f>BDS("FIBK US Equity","SUPPLY_CHAIN_CUSTOMERS_FULL_DATA")</f>
        <v/>
      </c>
      <c r="IG5">
        <f>BDS("CTWS US Equity","SUPPLY_CHAIN_SUPPLIERS_FULL_DATA")</f>
        <v/>
      </c>
      <c r="IU5">
        <f>BDS("CTWS US Equity","SUPPLY_CHAIN_CUSTOMERS_FULL_DATA")</f>
        <v/>
      </c>
      <c r="JK5">
        <f>BDS("HSP US Equity","SUPPLY_CHAIN_SUPPLIERS_FULL_DATA")</f>
        <v/>
      </c>
      <c r="JY5">
        <f>BDS("HSP US Equity","SUPPLY_CHAIN_CUSTOMERS_FULL_DATA")</f>
        <v/>
      </c>
      <c r="KO5">
        <f>BDS("UCBC US Equity","SUPPLY_CHAIN_SUPPLIERS_FULL_DATA")</f>
        <v/>
      </c>
      <c r="LC5">
        <f>BDS("UCBC US Equity","SUPPLY_CHAIN_CUSTOMERS_FULL_DATA")</f>
        <v/>
      </c>
      <c r="LS5">
        <f>BDS("0852980D US Equity","SUPPLY_CHAIN_SUPPLIERS_FULL_DATA")</f>
        <v/>
      </c>
      <c r="MG5">
        <f>BDS("0852980D US Equity","SUPPLY_CHAIN_CUSTOMERS_FULL_DATA")</f>
        <v/>
      </c>
      <c r="MW5">
        <f>BDS("FBA US Equity","SUPPLY_CHAIN_SUPPLIERS_FULL_DATA")</f>
        <v/>
      </c>
      <c r="NK5">
        <f>BDS("FBA US Equity","SUPPLY_CHAIN_CUSTOMERS_FULL_DATA")</f>
        <v/>
      </c>
      <c r="OA5">
        <f>BDS("PDCE US Equity","SUPPLY_CHAIN_SUPPLIERS_FULL_DATA")</f>
        <v/>
      </c>
      <c r="OO5">
        <f>BDS("PDCE US Equity","SUPPLY_CHAIN_CUSTOMERS_FULL_DATA")</f>
        <v/>
      </c>
      <c r="PE5">
        <f>BDS("GSON US Equity","SUPPLY_CHAIN_SUPPLIERS_FULL_DATA")</f>
        <v/>
      </c>
      <c r="PS5">
        <f>BDS("GSON US Equity","SUPPLY_CHAIN_CUSTOMERS_FULL_DATA")</f>
        <v/>
      </c>
      <c r="QI5">
        <f>BDS("TIBX US Equity","SUPPLY_CHAIN_SUPPLIERS_FULL_DATA")</f>
        <v/>
      </c>
      <c r="QW5">
        <f>BDS("TIBX US Equity","SUPPLY_CHAIN_CUSTOMERS_FULL_DATA")</f>
        <v/>
      </c>
      <c r="RM5">
        <f>BDS("MDT US Equity","SUPPLY_CHAIN_SUPPLIERS_FULL_DATA")</f>
        <v/>
      </c>
      <c r="SA5">
        <f>BDS("MDT US Equity","SUPPLY_CHAIN_CUSTOMERS_FULL_DATA")</f>
        <v/>
      </c>
      <c r="SQ5">
        <f>BDS("FCEC US Equity","SUPPLY_CHAIN_SUPPLIERS_FULL_DATA")</f>
        <v/>
      </c>
      <c r="TE5">
        <f>BDS("FCEC US Equity","SUPPLY_CHAIN_CUSTOMERS_FULL_DATA")</f>
        <v/>
      </c>
      <c r="TU5">
        <f>BDS("LNCB US Equity","SUPPLY_CHAIN_SUPPLIERS_FULL_DATA")</f>
        <v/>
      </c>
      <c r="UI5">
        <f>BDS("LNCB US Equity","SUPPLY_CHAIN_CUSTOMERS_FULL_DATA")</f>
        <v/>
      </c>
      <c r="UY5">
        <f>BDS("MROI US Equity","SUPPLY_CHAIN_SUPPLIERS_FULL_DATA")</f>
        <v/>
      </c>
      <c r="VM5">
        <f>BDS("MROI US Equity","SUPPLY_CHAIN_CUSTOMERS_FULL_DATA")</f>
        <v/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4721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4722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4723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4724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4725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4726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4727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4728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4729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4730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4731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4732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4733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4734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4735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4736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4737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4738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4739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4740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HRL US Equity</t>
        </is>
      </c>
      <c r="AE2" s="3" t="inlineStr">
        <is>
          <t>NUAN US Equity</t>
        </is>
      </c>
      <c r="BI2" s="3" t="inlineStr">
        <is>
          <t>AGEN US Equity</t>
        </is>
      </c>
      <c r="CM2" s="3" t="inlineStr">
        <is>
          <t>ZD US Equity</t>
        </is>
      </c>
      <c r="DQ2" s="3" t="inlineStr">
        <is>
          <t>355488Q US Equity</t>
        </is>
      </c>
      <c r="EU2" s="3" t="inlineStr">
        <is>
          <t>NFBK US Equity</t>
        </is>
      </c>
      <c r="FY2" s="3" t="inlineStr">
        <is>
          <t>PACW US Equity</t>
        </is>
      </c>
      <c r="HC2" s="3" t="inlineStr">
        <is>
          <t>LRNS US Equity</t>
        </is>
      </c>
      <c r="IG2" s="3" t="inlineStr">
        <is>
          <t>VIVO US Equity</t>
        </is>
      </c>
      <c r="JK2" s="3" t="inlineStr">
        <is>
          <t>FDC US Equity</t>
        </is>
      </c>
      <c r="KO2" s="3" t="inlineStr">
        <is>
          <t>BTFG US Equity</t>
        </is>
      </c>
      <c r="LS2" s="3" t="inlineStr">
        <is>
          <t>ADRX US Equity</t>
        </is>
      </c>
      <c r="MW2" s="3" t="inlineStr">
        <is>
          <t>OSIP US Equity</t>
        </is>
      </c>
      <c r="OA2" s="3" t="inlineStr">
        <is>
          <t>CRMT US Equity</t>
        </is>
      </c>
      <c r="PE2" s="3" t="inlineStr">
        <is>
          <t>TSICQ US Equity</t>
        </is>
      </c>
      <c r="QI2" s="3" t="inlineStr">
        <is>
          <t>VSNT US Equity</t>
        </is>
      </c>
      <c r="RM2" s="3" t="inlineStr">
        <is>
          <t>UMPQ US Equity</t>
        </is>
      </c>
      <c r="SQ2" s="3" t="inlineStr">
        <is>
          <t>PXFG US Equity</t>
        </is>
      </c>
      <c r="TU2" s="3" t="inlineStr">
        <is>
          <t>AVT US Equity</t>
        </is>
      </c>
      <c r="UY2" s="3" t="inlineStr">
        <is>
          <t>HCMC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BDS("HRL US Equity","SUPPLY_CHAIN_SUPPLIERS_FULL_DATA")</f>
        <v/>
      </c>
      <c r="O5">
        <f>BDS("HRL US Equity","SUPPLY_CHAIN_CUSTOMERS_FULL_DATA")</f>
        <v/>
      </c>
      <c r="AE5">
        <f>BDS("NUAN US Equity","SUPPLY_CHAIN_SUPPLIERS_FULL_DATA")</f>
        <v/>
      </c>
      <c r="AS5">
        <f>BDS("NUAN US Equity","SUPPLY_CHAIN_CUSTOMERS_FULL_DATA")</f>
        <v/>
      </c>
      <c r="BI5">
        <f>BDS("AGEN US Equity","SUPPLY_CHAIN_SUPPLIERS_FULL_DATA")</f>
        <v/>
      </c>
      <c r="BW5">
        <f>BDS("AGEN US Equity","SUPPLY_CHAIN_CUSTOMERS_FULL_DATA")</f>
        <v/>
      </c>
      <c r="CM5">
        <f>BDS("ZD US Equity","SUPPLY_CHAIN_SUPPLIERS_FULL_DATA")</f>
        <v/>
      </c>
      <c r="DA5">
        <f>BDS("ZD US Equity","SUPPLY_CHAIN_CUSTOMERS_FULL_DATA")</f>
        <v/>
      </c>
      <c r="DQ5">
        <f>BDS("355488Q US Equity","SUPPLY_CHAIN_SUPPLIERS_FULL_DATA")</f>
        <v/>
      </c>
      <c r="EE5">
        <f>BDS("355488Q US Equity","SUPPLY_CHAIN_CUSTOMERS_FULL_DATA")</f>
        <v/>
      </c>
      <c r="EU5">
        <f>BDS("NFBK US Equity","SUPPLY_CHAIN_SUPPLIERS_FULL_DATA")</f>
        <v/>
      </c>
      <c r="FI5">
        <f>BDS("NFBK US Equity","SUPPLY_CHAIN_CUSTOMERS_FULL_DATA")</f>
        <v/>
      </c>
      <c r="FY5">
        <f>BDS("PACW US Equity","SUPPLY_CHAIN_SUPPLIERS_FULL_DATA")</f>
        <v/>
      </c>
      <c r="GM5">
        <f>BDS("PACW US Equity","SUPPLY_CHAIN_CUSTOMERS_FULL_DATA")</f>
        <v/>
      </c>
      <c r="HC5">
        <f>BDS("LRNS US Equity","SUPPLY_CHAIN_SUPPLIERS_FULL_DATA")</f>
        <v/>
      </c>
      <c r="HQ5">
        <f>BDS("LRNS US Equity","SUPPLY_CHAIN_CUSTOMERS_FULL_DATA")</f>
        <v/>
      </c>
      <c r="IG5">
        <f>BDS("VIVO US Equity","SUPPLY_CHAIN_SUPPLIERS_FULL_DATA")</f>
        <v/>
      </c>
      <c r="IU5">
        <f>BDS("VIVO US Equity","SUPPLY_CHAIN_CUSTOMERS_FULL_DATA")</f>
        <v/>
      </c>
      <c r="JK5">
        <f>BDS("FDC US Equity","SUPPLY_CHAIN_SUPPLIERS_FULL_DATA")</f>
        <v/>
      </c>
      <c r="JY5">
        <f>BDS("FDC US Equity","SUPPLY_CHAIN_CUSTOMERS_FULL_DATA")</f>
        <v/>
      </c>
      <c r="KO5">
        <f>BDS("BTFG US Equity","SUPPLY_CHAIN_SUPPLIERS_FULL_DATA")</f>
        <v/>
      </c>
      <c r="LC5">
        <f>BDS("BTFG US Equity","SUPPLY_CHAIN_CUSTOMERS_FULL_DATA")</f>
        <v/>
      </c>
      <c r="LS5">
        <f>BDS("ADRX US Equity","SUPPLY_CHAIN_SUPPLIERS_FULL_DATA")</f>
        <v/>
      </c>
      <c r="MG5">
        <f>BDS("ADRX US Equity","SUPPLY_CHAIN_CUSTOMERS_FULL_DATA")</f>
        <v/>
      </c>
      <c r="MW5">
        <f>BDS("OSIP US Equity","SUPPLY_CHAIN_SUPPLIERS_FULL_DATA")</f>
        <v/>
      </c>
      <c r="NK5">
        <f>BDS("OSIP US Equity","SUPPLY_CHAIN_CUSTOMERS_FULL_DATA")</f>
        <v/>
      </c>
      <c r="OA5">
        <f>BDS("CRMT US Equity","SUPPLY_CHAIN_SUPPLIERS_FULL_DATA")</f>
        <v/>
      </c>
      <c r="OO5">
        <f>BDS("CRMT US Equity","SUPPLY_CHAIN_CUSTOMERS_FULL_DATA")</f>
        <v/>
      </c>
      <c r="PE5">
        <f>BDS("TSICQ US Equity","SUPPLY_CHAIN_SUPPLIERS_FULL_DATA")</f>
        <v/>
      </c>
      <c r="PS5">
        <f>BDS("TSICQ US Equity","SUPPLY_CHAIN_CUSTOMERS_FULL_DATA")</f>
        <v/>
      </c>
      <c r="QI5">
        <f>BDS("VSNT US Equity","SUPPLY_CHAIN_SUPPLIERS_FULL_DATA")</f>
        <v/>
      </c>
      <c r="QW5">
        <f>BDS("VSNT US Equity","SUPPLY_CHAIN_CUSTOMERS_FULL_DATA")</f>
        <v/>
      </c>
      <c r="RM5">
        <f>BDS("UMPQ US Equity","SUPPLY_CHAIN_SUPPLIERS_FULL_DATA")</f>
        <v/>
      </c>
      <c r="SA5">
        <f>BDS("UMPQ US Equity","SUPPLY_CHAIN_CUSTOMERS_FULL_DATA")</f>
        <v/>
      </c>
      <c r="SQ5">
        <f>BDS("PXFG US Equity","SUPPLY_CHAIN_SUPPLIERS_FULL_DATA")</f>
        <v/>
      </c>
      <c r="TE5">
        <f>BDS("PXFG US Equity","SUPPLY_CHAIN_CUSTOMERS_FULL_DATA")</f>
        <v/>
      </c>
      <c r="TU5">
        <f>BDS("AVT US Equity","SUPPLY_CHAIN_SUPPLIERS_FULL_DATA")</f>
        <v/>
      </c>
      <c r="UI5">
        <f>BDS("AVT US Equity","SUPPLY_CHAIN_CUSTOMERS_FULL_DATA")</f>
        <v/>
      </c>
      <c r="UY5">
        <f>BDS("HCMC US Equity","SUPPLY_CHAIN_SUPPLIERS_FULL_DATA")</f>
        <v/>
      </c>
      <c r="VM5">
        <f>BDS("HCMC US Equity","SUPPLY_CHAIN_CUSTOMERS_FULL_DATA")</f>
        <v/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4741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4742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4743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4744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4745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4746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4747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4748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4749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4750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4751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4752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4753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4754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4755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4756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4757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4758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4759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4760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PRK US Equity</t>
        </is>
      </c>
      <c r="AE2" s="3" t="inlineStr">
        <is>
          <t>CBU US Equity</t>
        </is>
      </c>
      <c r="BI2" s="3" t="inlineStr">
        <is>
          <t>AUTO US Equity</t>
        </is>
      </c>
      <c r="CM2" s="3" t="inlineStr">
        <is>
          <t>9990253D US Equity</t>
        </is>
      </c>
      <c r="DQ2" s="3" t="inlineStr">
        <is>
          <t>LARK US Equity</t>
        </is>
      </c>
      <c r="EU2" s="3" t="inlineStr">
        <is>
          <t>PFCI US Equity</t>
        </is>
      </c>
      <c r="FY2" s="3" t="inlineStr">
        <is>
          <t>ABNK US Equity</t>
        </is>
      </c>
      <c r="HC2" s="3" t="inlineStr">
        <is>
          <t>EBSB US Equity</t>
        </is>
      </c>
      <c r="IG2" s="3" t="inlineStr">
        <is>
          <t>DHR US Equity</t>
        </is>
      </c>
      <c r="JK2" s="3" t="inlineStr">
        <is>
          <t>LARK US Equity</t>
        </is>
      </c>
      <c r="KO2" s="3" t="inlineStr">
        <is>
          <t>623366Q US Equity</t>
        </is>
      </c>
      <c r="LS2" s="3" t="inlineStr">
        <is>
          <t>OAKF US Equity</t>
        </is>
      </c>
      <c r="MW2" s="3" t="inlineStr">
        <is>
          <t>CIA US Equity</t>
        </is>
      </c>
      <c r="OA2" s="3" t="inlineStr">
        <is>
          <t>SFNT US Equity</t>
        </is>
      </c>
      <c r="PE2" s="3" t="inlineStr">
        <is>
          <t>2228652D US Equity</t>
        </is>
      </c>
      <c r="QI2" s="3" t="inlineStr">
        <is>
          <t>EMCF US Equity</t>
        </is>
      </c>
      <c r="RM2" s="3" t="inlineStr">
        <is>
          <t>FWBN US Equity</t>
        </is>
      </c>
      <c r="SQ2" s="3" t="inlineStr">
        <is>
          <t>PRGS US Equity</t>
        </is>
      </c>
      <c r="TU2" s="3" t="inlineStr">
        <is>
          <t>LNWO US Equity</t>
        </is>
      </c>
      <c r="UY2" s="3" t="inlineStr">
        <is>
          <t>PCBI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BDS("PRK US Equity","SUPPLY_CHAIN_SUPPLIERS_FULL_DATA")</f>
        <v/>
      </c>
      <c r="O5">
        <f>BDS("PRK US Equity","SUPPLY_CHAIN_CUSTOMERS_FULL_DATA")</f>
        <v/>
      </c>
      <c r="AE5">
        <f>BDS("CBU US Equity","SUPPLY_CHAIN_SUPPLIERS_FULL_DATA")</f>
        <v/>
      </c>
      <c r="AS5">
        <f>BDS("CBU US Equity","SUPPLY_CHAIN_CUSTOMERS_FULL_DATA")</f>
        <v/>
      </c>
      <c r="BI5">
        <f>BDS("AUTO US Equity","SUPPLY_CHAIN_SUPPLIERS_FULL_DATA")</f>
        <v/>
      </c>
      <c r="BW5">
        <f>BDS("AUTO US Equity","SUPPLY_CHAIN_CUSTOMERS_FULL_DATA")</f>
        <v/>
      </c>
      <c r="CM5">
        <f>BDS("9990253D US Equity","SUPPLY_CHAIN_SUPPLIERS_FULL_DATA")</f>
        <v/>
      </c>
      <c r="DA5">
        <f>BDS("9990253D US Equity","SUPPLY_CHAIN_CUSTOMERS_FULL_DATA")</f>
        <v/>
      </c>
      <c r="DQ5">
        <f>BDS("LARK US Equity","SUPPLY_CHAIN_SUPPLIERS_FULL_DATA")</f>
        <v/>
      </c>
      <c r="EE5">
        <f>BDS("LARK US Equity","SUPPLY_CHAIN_CUSTOMERS_FULL_DATA")</f>
        <v/>
      </c>
      <c r="EU5">
        <f>BDS("PFCI US Equity","SUPPLY_CHAIN_SUPPLIERS_FULL_DATA")</f>
        <v/>
      </c>
      <c r="FI5">
        <f>BDS("PFCI US Equity","SUPPLY_CHAIN_CUSTOMERS_FULL_DATA")</f>
        <v/>
      </c>
      <c r="FY5">
        <f>BDS("ABNK US Equity","SUPPLY_CHAIN_SUPPLIERS_FULL_DATA")</f>
        <v/>
      </c>
      <c r="GM5">
        <f>BDS("ABNK US Equity","SUPPLY_CHAIN_CUSTOMERS_FULL_DATA")</f>
        <v/>
      </c>
      <c r="HC5">
        <f>BDS("EBSB US Equity","SUPPLY_CHAIN_SUPPLIERS_FULL_DATA")</f>
        <v/>
      </c>
      <c r="HQ5">
        <f>BDS("EBSB US Equity","SUPPLY_CHAIN_CUSTOMERS_FULL_DATA")</f>
        <v/>
      </c>
      <c r="IG5">
        <f>BDS("DHR US Equity","SUPPLY_CHAIN_SUPPLIERS_FULL_DATA")</f>
        <v/>
      </c>
      <c r="IU5">
        <f>BDS("DHR US Equity","SUPPLY_CHAIN_CUSTOMERS_FULL_DATA")</f>
        <v/>
      </c>
      <c r="JK5">
        <f>BDS("LARK US Equity","SUPPLY_CHAIN_SUPPLIERS_FULL_DATA")</f>
        <v/>
      </c>
      <c r="JY5">
        <f>BDS("LARK US Equity","SUPPLY_CHAIN_CUSTOMERS_FULL_DATA")</f>
        <v/>
      </c>
      <c r="KO5">
        <f>BDS("623366Q US Equity","SUPPLY_CHAIN_SUPPLIERS_FULL_DATA")</f>
        <v/>
      </c>
      <c r="LC5">
        <f>BDS("623366Q US Equity","SUPPLY_CHAIN_CUSTOMERS_FULL_DATA")</f>
        <v/>
      </c>
      <c r="LS5">
        <f>BDS("OAKF US Equity","SUPPLY_CHAIN_SUPPLIERS_FULL_DATA")</f>
        <v/>
      </c>
      <c r="MG5">
        <f>BDS("OAKF US Equity","SUPPLY_CHAIN_CUSTOMERS_FULL_DATA")</f>
        <v/>
      </c>
      <c r="MW5">
        <f>BDS("CIA US Equity","SUPPLY_CHAIN_SUPPLIERS_FULL_DATA")</f>
        <v/>
      </c>
      <c r="NK5">
        <f>BDS("CIA US Equity","SUPPLY_CHAIN_CUSTOMERS_FULL_DATA")</f>
        <v/>
      </c>
      <c r="OA5">
        <f>BDS("SFNT US Equity","SUPPLY_CHAIN_SUPPLIERS_FULL_DATA")</f>
        <v/>
      </c>
      <c r="OO5">
        <f>BDS("SFNT US Equity","SUPPLY_CHAIN_CUSTOMERS_FULL_DATA")</f>
        <v/>
      </c>
      <c r="PE5">
        <f>BDS("2228652D US Equity","SUPPLY_CHAIN_SUPPLIERS_FULL_DATA")</f>
        <v/>
      </c>
      <c r="PS5">
        <f>BDS("2228652D US Equity","SUPPLY_CHAIN_CUSTOMERS_FULL_DATA")</f>
        <v/>
      </c>
      <c r="QI5">
        <f>BDS("EMCF US Equity","SUPPLY_CHAIN_SUPPLIERS_FULL_DATA")</f>
        <v/>
      </c>
      <c r="QW5">
        <f>BDS("EMCF US Equity","SUPPLY_CHAIN_CUSTOMERS_FULL_DATA")</f>
        <v/>
      </c>
      <c r="RM5">
        <f>BDS("FWBN US Equity","SUPPLY_CHAIN_SUPPLIERS_FULL_DATA")</f>
        <v/>
      </c>
      <c r="SA5">
        <f>BDS("FWBN US Equity","SUPPLY_CHAIN_CUSTOMERS_FULL_DATA")</f>
        <v/>
      </c>
      <c r="SQ5">
        <f>BDS("PRGS US Equity","SUPPLY_CHAIN_SUPPLIERS_FULL_DATA")</f>
        <v/>
      </c>
      <c r="TE5">
        <f>BDS("PRGS US Equity","SUPPLY_CHAIN_CUSTOMERS_FULL_DATA")</f>
        <v/>
      </c>
      <c r="TU5">
        <f>BDS("LNWO US Equity","SUPPLY_CHAIN_SUPPLIERS_FULL_DATA")</f>
        <v/>
      </c>
      <c r="UI5">
        <f>BDS("LNWO US Equity","SUPPLY_CHAIN_CUSTOMERS_FULL_DATA")</f>
        <v/>
      </c>
      <c r="UY5">
        <f>BDS("PCBI US Equity","SUPPLY_CHAIN_SUPPLIERS_FULL_DATA")</f>
        <v/>
      </c>
      <c r="VM5">
        <f>BDS("PCBI US Equity","SUPPLY_CHAIN_CUSTOMERS_FULL_DATA")</f>
        <v/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4761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4762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4763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4764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4765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4766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4767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4768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4769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4770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4771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4772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4773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4774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4775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4776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4777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4778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4779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4780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QCRH US Equity</t>
        </is>
      </c>
      <c r="AE2" s="3" t="inlineStr">
        <is>
          <t>CUNB US Equity</t>
        </is>
      </c>
      <c r="BI2" s="3" t="inlineStr">
        <is>
          <t>1822785D US Equity</t>
        </is>
      </c>
      <c r="CM2" s="3" t="inlineStr">
        <is>
          <t>YCB US Equity</t>
        </is>
      </c>
      <c r="DQ2" s="3" t="inlineStr">
        <is>
          <t>PCBI US Equity</t>
        </is>
      </c>
      <c r="EU2" s="3" t="inlineStr">
        <is>
          <t>BX US Equity</t>
        </is>
      </c>
      <c r="FY2" s="3" t="inlineStr">
        <is>
          <t>GADS US Equity</t>
        </is>
      </c>
      <c r="HC2" s="3" t="inlineStr">
        <is>
          <t>WABC US Equity</t>
        </is>
      </c>
      <c r="IG2" s="3" t="inlineStr">
        <is>
          <t>ULB US Equity</t>
        </is>
      </c>
      <c r="JK2" s="3" t="inlineStr">
        <is>
          <t>PCTI US Equity</t>
        </is>
      </c>
      <c r="KO2" s="3" t="inlineStr">
        <is>
          <t>IHC US Equity</t>
        </is>
      </c>
      <c r="LS2" s="3" t="inlineStr">
        <is>
          <t>2860436Q US Equity</t>
        </is>
      </c>
      <c r="MW2" s="3" t="inlineStr">
        <is>
          <t>GRA US Equity</t>
        </is>
      </c>
      <c r="OA2" s="3" t="inlineStr">
        <is>
          <t>IFCJ US Equity</t>
        </is>
      </c>
      <c r="PE2" s="3" t="inlineStr">
        <is>
          <t>CBKN US Equity</t>
        </is>
      </c>
      <c r="QI2" s="3" t="inlineStr">
        <is>
          <t>CARO US Equity</t>
        </is>
      </c>
      <c r="RM2" s="3" t="inlineStr">
        <is>
          <t>FGBI US Equity</t>
        </is>
      </c>
      <c r="SQ2" s="3" t="inlineStr">
        <is>
          <t>PACW US Equity</t>
        </is>
      </c>
      <c r="TU2" s="3" t="inlineStr">
        <is>
          <t>AVLY US Equity</t>
        </is>
      </c>
      <c r="UY2" s="3" t="inlineStr">
        <is>
          <t>FXNC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BDS("QCRH US Equity","SUPPLY_CHAIN_SUPPLIERS_FULL_DATA")</f>
        <v/>
      </c>
      <c r="O5">
        <f>BDS("QCRH US Equity","SUPPLY_CHAIN_CUSTOMERS_FULL_DATA")</f>
        <v/>
      </c>
      <c r="AE5">
        <f>BDS("CUNB US Equity","SUPPLY_CHAIN_SUPPLIERS_FULL_DATA")</f>
        <v/>
      </c>
      <c r="AS5">
        <f>BDS("CUNB US Equity","SUPPLY_CHAIN_CUSTOMERS_FULL_DATA")</f>
        <v/>
      </c>
      <c r="BI5">
        <f>BDS("1822785D US Equity","SUPPLY_CHAIN_SUPPLIERS_FULL_DATA")</f>
        <v/>
      </c>
      <c r="BW5">
        <f>BDS("1822785D US Equity","SUPPLY_CHAIN_CUSTOMERS_FULL_DATA")</f>
        <v/>
      </c>
      <c r="CM5">
        <f>BDS("YCB US Equity","SUPPLY_CHAIN_SUPPLIERS_FULL_DATA")</f>
        <v/>
      </c>
      <c r="DA5">
        <f>BDS("YCB US Equity","SUPPLY_CHAIN_CUSTOMERS_FULL_DATA")</f>
        <v/>
      </c>
      <c r="DQ5">
        <f>BDS("PCBI US Equity","SUPPLY_CHAIN_SUPPLIERS_FULL_DATA")</f>
        <v/>
      </c>
      <c r="EE5">
        <f>BDS("PCBI US Equity","SUPPLY_CHAIN_CUSTOMERS_FULL_DATA")</f>
        <v/>
      </c>
      <c r="EU5">
        <f>BDS("BX US Equity","SUPPLY_CHAIN_SUPPLIERS_FULL_DATA")</f>
        <v/>
      </c>
      <c r="FI5">
        <f>BDS("BX US Equity","SUPPLY_CHAIN_CUSTOMERS_FULL_DATA")</f>
        <v/>
      </c>
      <c r="FY5">
        <f>BDS("GADS US Equity","SUPPLY_CHAIN_SUPPLIERS_FULL_DATA")</f>
        <v/>
      </c>
      <c r="GM5">
        <f>BDS("GADS US Equity","SUPPLY_CHAIN_CUSTOMERS_FULL_DATA")</f>
        <v/>
      </c>
      <c r="HC5">
        <f>BDS("WABC US Equity","SUPPLY_CHAIN_SUPPLIERS_FULL_DATA")</f>
        <v/>
      </c>
      <c r="HQ5">
        <f>BDS("WABC US Equity","SUPPLY_CHAIN_CUSTOMERS_FULL_DATA")</f>
        <v/>
      </c>
      <c r="IG5">
        <f>BDS("ULB US Equity","SUPPLY_CHAIN_SUPPLIERS_FULL_DATA")</f>
        <v/>
      </c>
      <c r="IU5">
        <f>BDS("ULB US Equity","SUPPLY_CHAIN_CUSTOMERS_FULL_DATA")</f>
        <v/>
      </c>
      <c r="JK5">
        <f>BDS("PCTI US Equity","SUPPLY_CHAIN_SUPPLIERS_FULL_DATA")</f>
        <v/>
      </c>
      <c r="JY5">
        <f>BDS("PCTI US Equity","SUPPLY_CHAIN_CUSTOMERS_FULL_DATA")</f>
        <v/>
      </c>
      <c r="KO5">
        <f>BDS("IHC US Equity","SUPPLY_CHAIN_SUPPLIERS_FULL_DATA")</f>
        <v/>
      </c>
      <c r="LC5">
        <f>BDS("IHC US Equity","SUPPLY_CHAIN_CUSTOMERS_FULL_DATA")</f>
        <v/>
      </c>
      <c r="LS5">
        <f>BDS("2860436Q US Equity","SUPPLY_CHAIN_SUPPLIERS_FULL_DATA")</f>
        <v/>
      </c>
      <c r="MG5">
        <f>BDS("2860436Q US Equity","SUPPLY_CHAIN_CUSTOMERS_FULL_DATA")</f>
        <v/>
      </c>
      <c r="MW5">
        <f>BDS("GRA US Equity","SUPPLY_CHAIN_SUPPLIERS_FULL_DATA")</f>
        <v/>
      </c>
      <c r="NK5">
        <f>BDS("GRA US Equity","SUPPLY_CHAIN_CUSTOMERS_FULL_DATA")</f>
        <v/>
      </c>
      <c r="OA5">
        <f>BDS("IFCJ US Equity","SUPPLY_CHAIN_SUPPLIERS_FULL_DATA")</f>
        <v/>
      </c>
      <c r="OO5">
        <f>BDS("IFCJ US Equity","SUPPLY_CHAIN_CUSTOMERS_FULL_DATA")</f>
        <v/>
      </c>
      <c r="PE5">
        <f>BDS("CBKN US Equity","SUPPLY_CHAIN_SUPPLIERS_FULL_DATA")</f>
        <v/>
      </c>
      <c r="PS5">
        <f>BDS("CBKN US Equity","SUPPLY_CHAIN_CUSTOMERS_FULL_DATA")</f>
        <v/>
      </c>
      <c r="QI5">
        <f>BDS("CARO US Equity","SUPPLY_CHAIN_SUPPLIERS_FULL_DATA")</f>
        <v/>
      </c>
      <c r="QW5">
        <f>BDS("CARO US Equity","SUPPLY_CHAIN_CUSTOMERS_FULL_DATA")</f>
        <v/>
      </c>
      <c r="RM5">
        <f>BDS("FGBI US Equity","SUPPLY_CHAIN_SUPPLIERS_FULL_DATA")</f>
        <v/>
      </c>
      <c r="SA5">
        <f>BDS("FGBI US Equity","SUPPLY_CHAIN_CUSTOMERS_FULL_DATA")</f>
        <v/>
      </c>
      <c r="SQ5">
        <f>BDS("PACW US Equity","SUPPLY_CHAIN_SUPPLIERS_FULL_DATA")</f>
        <v/>
      </c>
      <c r="TE5">
        <f>BDS("PACW US Equity","SUPPLY_CHAIN_CUSTOMERS_FULL_DATA")</f>
        <v/>
      </c>
      <c r="TU5">
        <f>BDS("AVLY US Equity","SUPPLY_CHAIN_SUPPLIERS_FULL_DATA")</f>
        <v/>
      </c>
      <c r="UI5">
        <f>BDS("AVLY US Equity","SUPPLY_CHAIN_CUSTOMERS_FULL_DATA")</f>
        <v/>
      </c>
      <c r="UY5">
        <f>BDS("FXNC US Equity","SUPPLY_CHAIN_SUPPLIERS_FULL_DATA")</f>
        <v/>
      </c>
      <c r="VM5">
        <f>BDS("FXNC US Equity","SUPPLY_CHAIN_CUSTOMERS_FULL_DATA")</f>
        <v/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4781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4782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4783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4784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4785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4786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4787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4788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4789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4790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4791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4792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4793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4794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4795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4796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4797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4798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4799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4800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ALAB US Equity</t>
        </is>
      </c>
      <c r="AE2" s="3" t="inlineStr">
        <is>
          <t>CERN US Equity</t>
        </is>
      </c>
      <c r="BI2" s="3" t="inlineStr">
        <is>
          <t>1284849D US Equity</t>
        </is>
      </c>
      <c r="CM2" s="3" t="inlineStr">
        <is>
          <t>SPGZ US Equity</t>
        </is>
      </c>
      <c r="DQ2" s="3" t="inlineStr">
        <is>
          <t>ABBK US Equity</t>
        </is>
      </c>
      <c r="EU2" s="3" t="inlineStr">
        <is>
          <t>GABC US Equity</t>
        </is>
      </c>
      <c r="FY2" s="3" t="inlineStr">
        <is>
          <t>LVCI US Equity</t>
        </is>
      </c>
      <c r="HC2" s="3" t="inlineStr">
        <is>
          <t>HBIO US Equity</t>
        </is>
      </c>
      <c r="IG2" s="3" t="inlineStr">
        <is>
          <t>JEF US Equity</t>
        </is>
      </c>
      <c r="JK2" s="3" t="inlineStr">
        <is>
          <t>WABC US Equity</t>
        </is>
      </c>
      <c r="KO2" s="3" t="inlineStr">
        <is>
          <t>8184823Q US Equity</t>
        </is>
      </c>
      <c r="LS2" s="3" t="inlineStr">
        <is>
          <t>1368189D US Equity</t>
        </is>
      </c>
      <c r="MW2" s="3" t="inlineStr">
        <is>
          <t>CTS US Equity</t>
        </is>
      </c>
      <c r="OA2" s="3" t="inlineStr">
        <is>
          <t>FNB US Equity</t>
        </is>
      </c>
      <c r="PE2" s="3" t="inlineStr">
        <is>
          <t>CAH US Equity</t>
        </is>
      </c>
      <c r="QI2" s="3" t="inlineStr">
        <is>
          <t>CVBF US Equity</t>
        </is>
      </c>
      <c r="RM2" s="3" t="inlineStr">
        <is>
          <t>NWFL US Equity</t>
        </is>
      </c>
      <c r="SQ2" s="3" t="inlineStr">
        <is>
          <t>OAKF US Equity</t>
        </is>
      </c>
      <c r="TU2" s="3" t="inlineStr">
        <is>
          <t>1255459D US Equity</t>
        </is>
      </c>
      <c r="UY2" s="3" t="inlineStr">
        <is>
          <t>ORXE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BDS("ALAB US Equity","SUPPLY_CHAIN_SUPPLIERS_FULL_DATA")</f>
        <v/>
      </c>
      <c r="O5">
        <f>BDS("ALAB US Equity","SUPPLY_CHAIN_CUSTOMERS_FULL_DATA")</f>
        <v/>
      </c>
      <c r="AE5">
        <f>BDS("CERN US Equity","SUPPLY_CHAIN_SUPPLIERS_FULL_DATA")</f>
        <v/>
      </c>
      <c r="AS5">
        <f>BDS("CERN US Equity","SUPPLY_CHAIN_CUSTOMERS_FULL_DATA")</f>
        <v/>
      </c>
      <c r="BI5">
        <f>BDS("1284849D US Equity","SUPPLY_CHAIN_SUPPLIERS_FULL_DATA")</f>
        <v/>
      </c>
      <c r="BW5">
        <f>BDS("1284849D US Equity","SUPPLY_CHAIN_CUSTOMERS_FULL_DATA")</f>
        <v/>
      </c>
      <c r="CM5">
        <f>BDS("SPGZ US Equity","SUPPLY_CHAIN_SUPPLIERS_FULL_DATA")</f>
        <v/>
      </c>
      <c r="DA5">
        <f>BDS("SPGZ US Equity","SUPPLY_CHAIN_CUSTOMERS_FULL_DATA")</f>
        <v/>
      </c>
      <c r="DQ5">
        <f>BDS("ABBK US Equity","SUPPLY_CHAIN_SUPPLIERS_FULL_DATA")</f>
        <v/>
      </c>
      <c r="EE5">
        <f>BDS("ABBK US Equity","SUPPLY_CHAIN_CUSTOMERS_FULL_DATA")</f>
        <v/>
      </c>
      <c r="EU5">
        <f>BDS("GABC US Equity","SUPPLY_CHAIN_SUPPLIERS_FULL_DATA")</f>
        <v/>
      </c>
      <c r="FI5">
        <f>BDS("GABC US Equity","SUPPLY_CHAIN_CUSTOMERS_FULL_DATA")</f>
        <v/>
      </c>
      <c r="FY5">
        <f>BDS("LVCI US Equity","SUPPLY_CHAIN_SUPPLIERS_FULL_DATA")</f>
        <v/>
      </c>
      <c r="GM5">
        <f>BDS("LVCI US Equity","SUPPLY_CHAIN_CUSTOMERS_FULL_DATA")</f>
        <v/>
      </c>
      <c r="HC5">
        <f>BDS("HBIO US Equity","SUPPLY_CHAIN_SUPPLIERS_FULL_DATA")</f>
        <v/>
      </c>
      <c r="HQ5">
        <f>BDS("HBIO US Equity","SUPPLY_CHAIN_CUSTOMERS_FULL_DATA")</f>
        <v/>
      </c>
      <c r="IG5">
        <f>BDS("JEF US Equity","SUPPLY_CHAIN_SUPPLIERS_FULL_DATA")</f>
        <v/>
      </c>
      <c r="IU5">
        <f>BDS("JEF US Equity","SUPPLY_CHAIN_CUSTOMERS_FULL_DATA")</f>
        <v/>
      </c>
      <c r="JK5">
        <f>BDS("WABC US Equity","SUPPLY_CHAIN_SUPPLIERS_FULL_DATA")</f>
        <v/>
      </c>
      <c r="JY5">
        <f>BDS("WABC US Equity","SUPPLY_CHAIN_CUSTOMERS_FULL_DATA")</f>
        <v/>
      </c>
      <c r="KO5">
        <f>BDS("8184823Q US Equity","SUPPLY_CHAIN_SUPPLIERS_FULL_DATA")</f>
        <v/>
      </c>
      <c r="LC5">
        <f>BDS("8184823Q US Equity","SUPPLY_CHAIN_CUSTOMERS_FULL_DATA")</f>
        <v/>
      </c>
      <c r="LS5">
        <f>BDS("1368189D US Equity","SUPPLY_CHAIN_SUPPLIERS_FULL_DATA")</f>
        <v/>
      </c>
      <c r="MG5">
        <f>BDS("1368189D US Equity","SUPPLY_CHAIN_CUSTOMERS_FULL_DATA")</f>
        <v/>
      </c>
      <c r="MW5">
        <f>BDS("CTS US Equity","SUPPLY_CHAIN_SUPPLIERS_FULL_DATA")</f>
        <v/>
      </c>
      <c r="NK5">
        <f>BDS("CTS US Equity","SUPPLY_CHAIN_CUSTOMERS_FULL_DATA")</f>
        <v/>
      </c>
      <c r="OA5">
        <f>BDS("FNB US Equity","SUPPLY_CHAIN_SUPPLIERS_FULL_DATA")</f>
        <v/>
      </c>
      <c r="OO5">
        <f>BDS("FNB US Equity","SUPPLY_CHAIN_CUSTOMERS_FULL_DATA")</f>
        <v/>
      </c>
      <c r="PE5">
        <f>BDS("CAH US Equity","SUPPLY_CHAIN_SUPPLIERS_FULL_DATA")</f>
        <v/>
      </c>
      <c r="PS5">
        <f>BDS("CAH US Equity","SUPPLY_CHAIN_CUSTOMERS_FULL_DATA")</f>
        <v/>
      </c>
      <c r="QI5">
        <f>BDS("CVBF US Equity","SUPPLY_CHAIN_SUPPLIERS_FULL_DATA")</f>
        <v/>
      </c>
      <c r="QW5">
        <f>BDS("CVBF US Equity","SUPPLY_CHAIN_CUSTOMERS_FULL_DATA")</f>
        <v/>
      </c>
      <c r="RM5">
        <f>BDS("NWFL US Equity","SUPPLY_CHAIN_SUPPLIERS_FULL_DATA")</f>
        <v/>
      </c>
      <c r="SA5">
        <f>BDS("NWFL US Equity","SUPPLY_CHAIN_CUSTOMERS_FULL_DATA")</f>
        <v/>
      </c>
      <c r="SQ5">
        <f>BDS("OAKF US Equity","SUPPLY_CHAIN_SUPPLIERS_FULL_DATA")</f>
        <v/>
      </c>
      <c r="TE5">
        <f>BDS("OAKF US Equity","SUPPLY_CHAIN_CUSTOMERS_FULL_DATA")</f>
        <v/>
      </c>
      <c r="TU5">
        <f>BDS("1255459D US Equity","SUPPLY_CHAIN_SUPPLIERS_FULL_DATA")</f>
        <v/>
      </c>
      <c r="UI5">
        <f>BDS("1255459D US Equity","SUPPLY_CHAIN_CUSTOMERS_FULL_DATA")</f>
        <v/>
      </c>
      <c r="UY5">
        <f>BDS("ORXE US Equity","SUPPLY_CHAIN_SUPPLIERS_FULL_DATA")</f>
        <v/>
      </c>
      <c r="VM5">
        <f>BDS("ORXE US Equity","SUPPLY_CHAIN_CUSTOMERS_FULL_DATA")</f>
        <v/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4801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4802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4803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4804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4805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4806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4807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4808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4809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4810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4811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4812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4813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4814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4815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4816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4817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4818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4819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4820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NASB US Equity</t>
        </is>
      </c>
      <c r="AE2" s="3" t="inlineStr">
        <is>
          <t>MDCO US Equity</t>
        </is>
      </c>
      <c r="BI2" s="3" t="inlineStr">
        <is>
          <t>2447428D US Equity</t>
        </is>
      </c>
      <c r="CM2" s="3" t="inlineStr">
        <is>
          <t>BDX US Equity</t>
        </is>
      </c>
      <c r="DQ2" s="3" t="inlineStr">
        <is>
          <t>HTRN US Equity</t>
        </is>
      </c>
      <c r="EU2" s="3" t="inlineStr">
        <is>
          <t>IFHI US Equity</t>
        </is>
      </c>
      <c r="FY2" s="3" t="inlineStr">
        <is>
          <t>FMNB US Equity</t>
        </is>
      </c>
      <c r="HC2" s="3" t="inlineStr">
        <is>
          <t>SFFB US Equity</t>
        </is>
      </c>
      <c r="IG2" s="3" t="inlineStr">
        <is>
          <t>NBOH US Equity</t>
        </is>
      </c>
      <c r="JK2" s="3" t="inlineStr">
        <is>
          <t>0569919D LN Equity</t>
        </is>
      </c>
      <c r="KO2" s="3" t="inlineStr">
        <is>
          <t>3523914Q US Equity</t>
        </is>
      </c>
      <c r="LS2" s="3" t="inlineStr">
        <is>
          <t>SYMM US Equity</t>
        </is>
      </c>
      <c r="MW2" s="3" t="inlineStr">
        <is>
          <t>HL US Equity</t>
        </is>
      </c>
      <c r="OA2" s="3" t="inlineStr">
        <is>
          <t>1927294D US Equity</t>
        </is>
      </c>
      <c r="PE2" s="3" t="inlineStr">
        <is>
          <t>MSBK US Equity</t>
        </is>
      </c>
      <c r="QI2" s="3" t="inlineStr">
        <is>
          <t>3077Q US Equity</t>
        </is>
      </c>
      <c r="RM2" s="3" t="inlineStr">
        <is>
          <t>9856660D US Equity</t>
        </is>
      </c>
      <c r="SQ2" s="3" t="inlineStr">
        <is>
          <t>FSII US Equity</t>
        </is>
      </c>
      <c r="TU2" s="3" t="inlineStr">
        <is>
          <t>ASTV US Equity</t>
        </is>
      </c>
      <c r="UY2" s="3" t="inlineStr">
        <is>
          <t>JFBI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BDS("NASB US Equity","SUPPLY_CHAIN_SUPPLIERS_FULL_DATA")</f>
        <v/>
      </c>
      <c r="O5">
        <f>BDS("NASB US Equity","SUPPLY_CHAIN_CUSTOMERS_FULL_DATA")</f>
        <v/>
      </c>
      <c r="AE5">
        <f>BDS("MDCO US Equity","SUPPLY_CHAIN_SUPPLIERS_FULL_DATA")</f>
        <v/>
      </c>
      <c r="AS5">
        <f>BDS("MDCO US Equity","SUPPLY_CHAIN_CUSTOMERS_FULL_DATA")</f>
        <v/>
      </c>
      <c r="BI5">
        <f>BDS("2447428D US Equity","SUPPLY_CHAIN_SUPPLIERS_FULL_DATA")</f>
        <v/>
      </c>
      <c r="BW5">
        <f>BDS("2447428D US Equity","SUPPLY_CHAIN_CUSTOMERS_FULL_DATA")</f>
        <v/>
      </c>
      <c r="CM5">
        <f>BDS("BDX US Equity","SUPPLY_CHAIN_SUPPLIERS_FULL_DATA")</f>
        <v/>
      </c>
      <c r="DA5">
        <f>BDS("BDX US Equity","SUPPLY_CHAIN_CUSTOMERS_FULL_DATA")</f>
        <v/>
      </c>
      <c r="DQ5">
        <f>BDS("HTRN US Equity","SUPPLY_CHAIN_SUPPLIERS_FULL_DATA")</f>
        <v/>
      </c>
      <c r="EE5">
        <f>BDS("HTRN US Equity","SUPPLY_CHAIN_CUSTOMERS_FULL_DATA")</f>
        <v/>
      </c>
      <c r="EU5">
        <f>BDS("IFHI US Equity","SUPPLY_CHAIN_SUPPLIERS_FULL_DATA")</f>
        <v/>
      </c>
      <c r="FI5">
        <f>BDS("IFHI US Equity","SUPPLY_CHAIN_CUSTOMERS_FULL_DATA")</f>
        <v/>
      </c>
      <c r="FY5">
        <f>BDS("FMNB US Equity","SUPPLY_CHAIN_SUPPLIERS_FULL_DATA")</f>
        <v/>
      </c>
      <c r="GM5">
        <f>BDS("FMNB US Equity","SUPPLY_CHAIN_CUSTOMERS_FULL_DATA")</f>
        <v/>
      </c>
      <c r="HC5">
        <f>BDS("SFFB US Equity","SUPPLY_CHAIN_SUPPLIERS_FULL_DATA")</f>
        <v/>
      </c>
      <c r="HQ5">
        <f>BDS("SFFB US Equity","SUPPLY_CHAIN_CUSTOMERS_FULL_DATA")</f>
        <v/>
      </c>
      <c r="IG5">
        <f>BDS("NBOH US Equity","SUPPLY_CHAIN_SUPPLIERS_FULL_DATA")</f>
        <v/>
      </c>
      <c r="IU5">
        <f>BDS("NBOH US Equity","SUPPLY_CHAIN_CUSTOMERS_FULL_DATA")</f>
        <v/>
      </c>
      <c r="JK5">
        <f>BDS("0569919D LN Equity","SUPPLY_CHAIN_SUPPLIERS_FULL_DATA")</f>
        <v/>
      </c>
      <c r="JY5">
        <f>BDS("0569919D LN Equity","SUPPLY_CHAIN_CUSTOMERS_FULL_DATA")</f>
        <v/>
      </c>
      <c r="KO5">
        <f>BDS("3523914Q US Equity","SUPPLY_CHAIN_SUPPLIERS_FULL_DATA")</f>
        <v/>
      </c>
      <c r="LC5">
        <f>BDS("3523914Q US Equity","SUPPLY_CHAIN_CUSTOMERS_FULL_DATA")</f>
        <v/>
      </c>
      <c r="LS5">
        <f>BDS("SYMM US Equity","SUPPLY_CHAIN_SUPPLIERS_FULL_DATA")</f>
        <v/>
      </c>
      <c r="MG5">
        <f>BDS("SYMM US Equity","SUPPLY_CHAIN_CUSTOMERS_FULL_DATA")</f>
        <v/>
      </c>
      <c r="MW5">
        <f>BDS("HL US Equity","SUPPLY_CHAIN_SUPPLIERS_FULL_DATA")</f>
        <v/>
      </c>
      <c r="NK5">
        <f>BDS("HL US Equity","SUPPLY_CHAIN_CUSTOMERS_FULL_DATA")</f>
        <v/>
      </c>
      <c r="OA5">
        <f>BDS("1927294D US Equity","SUPPLY_CHAIN_SUPPLIERS_FULL_DATA")</f>
        <v/>
      </c>
      <c r="OO5">
        <f>BDS("1927294D US Equity","SUPPLY_CHAIN_CUSTOMERS_FULL_DATA")</f>
        <v/>
      </c>
      <c r="PE5">
        <f>BDS("MSBK US Equity","SUPPLY_CHAIN_SUPPLIERS_FULL_DATA")</f>
        <v/>
      </c>
      <c r="PS5">
        <f>BDS("MSBK US Equity","SUPPLY_CHAIN_CUSTOMERS_FULL_DATA")</f>
        <v/>
      </c>
      <c r="QI5">
        <f>BDS("3077Q US Equity","SUPPLY_CHAIN_SUPPLIERS_FULL_DATA")</f>
        <v/>
      </c>
      <c r="QW5">
        <f>BDS("3077Q US Equity","SUPPLY_CHAIN_CUSTOMERS_FULL_DATA")</f>
        <v/>
      </c>
      <c r="RM5">
        <f>BDS("9856660D US Equity","SUPPLY_CHAIN_SUPPLIERS_FULL_DATA")</f>
        <v/>
      </c>
      <c r="SA5">
        <f>BDS("9856660D US Equity","SUPPLY_CHAIN_CUSTOMERS_FULL_DATA")</f>
        <v/>
      </c>
      <c r="SQ5">
        <f>BDS("FSII US Equity","SUPPLY_CHAIN_SUPPLIERS_FULL_DATA")</f>
        <v/>
      </c>
      <c r="TE5">
        <f>BDS("FSII US Equity","SUPPLY_CHAIN_CUSTOMERS_FULL_DATA")</f>
        <v/>
      </c>
      <c r="TU5">
        <f>BDS("ASTV US Equity","SUPPLY_CHAIN_SUPPLIERS_FULL_DATA")</f>
        <v/>
      </c>
      <c r="UI5">
        <f>BDS("ASTV US Equity","SUPPLY_CHAIN_CUSTOMERS_FULL_DATA")</f>
        <v/>
      </c>
      <c r="UY5">
        <f>BDS("JFBI US Equity","SUPPLY_CHAIN_SUPPLIERS_FULL_DATA")</f>
        <v/>
      </c>
      <c r="VM5">
        <f>BDS("JFBI US Equity","SUPPLY_CHAIN_CUSTOMERS_FULL_DATA")</f>
        <v/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4821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4822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4823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4824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4825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4826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4827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4828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4829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4830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4831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4832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4833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4834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4835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4836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4837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4838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4839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4840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NWBI US Equity</t>
        </is>
      </c>
      <c r="AE2" s="3" t="inlineStr">
        <is>
          <t>GE US Equity</t>
        </is>
      </c>
      <c r="BI2" s="3" t="inlineStr">
        <is>
          <t>ROMA US Equity</t>
        </is>
      </c>
      <c r="CM2" s="3" t="inlineStr">
        <is>
          <t>PCLE US Equity</t>
        </is>
      </c>
      <c r="DQ2" s="3" t="inlineStr">
        <is>
          <t>SCUR US Equity</t>
        </is>
      </c>
      <c r="EU2" s="3" t="inlineStr">
        <is>
          <t>OSIS US Equity</t>
        </is>
      </c>
      <c r="FY2" s="3" t="inlineStr">
        <is>
          <t>NWBI US Equity</t>
        </is>
      </c>
      <c r="HC2" s="3" t="inlineStr">
        <is>
          <t>FBPI US Equity</t>
        </is>
      </c>
      <c r="IG2" s="3" t="inlineStr">
        <is>
          <t>HBK US Equity</t>
        </is>
      </c>
      <c r="JK2" s="3" t="inlineStr">
        <is>
          <t>TIBX US Equity</t>
        </is>
      </c>
      <c r="KO2" s="3" t="inlineStr">
        <is>
          <t>PREM US Equity</t>
        </is>
      </c>
      <c r="LS2" s="3" t="inlineStr">
        <is>
          <t>THRD US Equity</t>
        </is>
      </c>
      <c r="MW2" s="3" t="inlineStr">
        <is>
          <t>ENMC US Equity</t>
        </is>
      </c>
      <c r="OA2" s="3" t="inlineStr">
        <is>
          <t>SLBK US Equity</t>
        </is>
      </c>
      <c r="PE2" s="3" t="inlineStr">
        <is>
          <t>MPB US Equity</t>
        </is>
      </c>
      <c r="QI2" s="3" t="inlineStr">
        <is>
          <t>TMO US Equity</t>
        </is>
      </c>
      <c r="RM2" s="3" t="inlineStr">
        <is>
          <t>9876544D US Equity</t>
        </is>
      </c>
      <c r="SQ2" s="3" t="inlineStr">
        <is>
          <t>COB US Equity</t>
        </is>
      </c>
      <c r="TU2" s="3" t="inlineStr">
        <is>
          <t>LEBC US Equity</t>
        </is>
      </c>
      <c r="UY2" s="3" t="inlineStr">
        <is>
          <t>IEX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BDS("NWBI US Equity","SUPPLY_CHAIN_SUPPLIERS_FULL_DATA")</f>
        <v/>
      </c>
      <c r="O5">
        <f>BDS("NWBI US Equity","SUPPLY_CHAIN_CUSTOMERS_FULL_DATA")</f>
        <v/>
      </c>
      <c r="AE5">
        <f>BDS("GE US Equity","SUPPLY_CHAIN_SUPPLIERS_FULL_DATA")</f>
        <v/>
      </c>
      <c r="AS5">
        <f>BDS("GE US Equity","SUPPLY_CHAIN_CUSTOMERS_FULL_DATA")</f>
        <v/>
      </c>
      <c r="BI5">
        <f>BDS("ROMA US Equity","SUPPLY_CHAIN_SUPPLIERS_FULL_DATA")</f>
        <v/>
      </c>
      <c r="BW5">
        <f>BDS("ROMA US Equity","SUPPLY_CHAIN_CUSTOMERS_FULL_DATA")</f>
        <v/>
      </c>
      <c r="CM5">
        <f>BDS("PCLE US Equity","SUPPLY_CHAIN_SUPPLIERS_FULL_DATA")</f>
        <v/>
      </c>
      <c r="DA5">
        <f>BDS("PCLE US Equity","SUPPLY_CHAIN_CUSTOMERS_FULL_DATA")</f>
        <v/>
      </c>
      <c r="DQ5">
        <f>BDS("SCUR US Equity","SUPPLY_CHAIN_SUPPLIERS_FULL_DATA")</f>
        <v/>
      </c>
      <c r="EE5">
        <f>BDS("SCUR US Equity","SUPPLY_CHAIN_CUSTOMERS_FULL_DATA")</f>
        <v/>
      </c>
      <c r="EU5">
        <f>BDS("OSIS US Equity","SUPPLY_CHAIN_SUPPLIERS_FULL_DATA")</f>
        <v/>
      </c>
      <c r="FI5">
        <f>BDS("OSIS US Equity","SUPPLY_CHAIN_CUSTOMERS_FULL_DATA")</f>
        <v/>
      </c>
      <c r="FY5">
        <f>BDS("NWBI US Equity","SUPPLY_CHAIN_SUPPLIERS_FULL_DATA")</f>
        <v/>
      </c>
      <c r="GM5">
        <f>BDS("NWBI US Equity","SUPPLY_CHAIN_CUSTOMERS_FULL_DATA")</f>
        <v/>
      </c>
      <c r="HC5">
        <f>BDS("FBPI US Equity","SUPPLY_CHAIN_SUPPLIERS_FULL_DATA")</f>
        <v/>
      </c>
      <c r="HQ5">
        <f>BDS("FBPI US Equity","SUPPLY_CHAIN_CUSTOMERS_FULL_DATA")</f>
        <v/>
      </c>
      <c r="IG5">
        <f>BDS("HBK US Equity","SUPPLY_CHAIN_SUPPLIERS_FULL_DATA")</f>
        <v/>
      </c>
      <c r="IU5">
        <f>BDS("HBK US Equity","SUPPLY_CHAIN_CUSTOMERS_FULL_DATA")</f>
        <v/>
      </c>
      <c r="JK5">
        <f>BDS("TIBX US Equity","SUPPLY_CHAIN_SUPPLIERS_FULL_DATA")</f>
        <v/>
      </c>
      <c r="JY5">
        <f>BDS("TIBX US Equity","SUPPLY_CHAIN_CUSTOMERS_FULL_DATA")</f>
        <v/>
      </c>
      <c r="KO5">
        <f>BDS("PREM US Equity","SUPPLY_CHAIN_SUPPLIERS_FULL_DATA")</f>
        <v/>
      </c>
      <c r="LC5">
        <f>BDS("PREM US Equity","SUPPLY_CHAIN_CUSTOMERS_FULL_DATA")</f>
        <v/>
      </c>
      <c r="LS5">
        <f>BDS("THRD US Equity","SUPPLY_CHAIN_SUPPLIERS_FULL_DATA")</f>
        <v/>
      </c>
      <c r="MG5">
        <f>BDS("THRD US Equity","SUPPLY_CHAIN_CUSTOMERS_FULL_DATA")</f>
        <v/>
      </c>
      <c r="MW5">
        <f>BDS("ENMC US Equity","SUPPLY_CHAIN_SUPPLIERS_FULL_DATA")</f>
        <v/>
      </c>
      <c r="NK5">
        <f>BDS("ENMC US Equity","SUPPLY_CHAIN_CUSTOMERS_FULL_DATA")</f>
        <v/>
      </c>
      <c r="OA5">
        <f>BDS("SLBK US Equity","SUPPLY_CHAIN_SUPPLIERS_FULL_DATA")</f>
        <v/>
      </c>
      <c r="OO5">
        <f>BDS("SLBK US Equity","SUPPLY_CHAIN_CUSTOMERS_FULL_DATA")</f>
        <v/>
      </c>
      <c r="PE5">
        <f>BDS("MPB US Equity","SUPPLY_CHAIN_SUPPLIERS_FULL_DATA")</f>
        <v/>
      </c>
      <c r="PS5">
        <f>BDS("MPB US Equity","SUPPLY_CHAIN_CUSTOMERS_FULL_DATA")</f>
        <v/>
      </c>
      <c r="QI5">
        <f>BDS("TMO US Equity","SUPPLY_CHAIN_SUPPLIERS_FULL_DATA")</f>
        <v/>
      </c>
      <c r="QW5">
        <f>BDS("TMO US Equity","SUPPLY_CHAIN_CUSTOMERS_FULL_DATA")</f>
        <v/>
      </c>
      <c r="RM5">
        <f>BDS("9876544D US Equity","SUPPLY_CHAIN_SUPPLIERS_FULL_DATA")</f>
        <v/>
      </c>
      <c r="SA5">
        <f>BDS("9876544D US Equity","SUPPLY_CHAIN_CUSTOMERS_FULL_DATA")</f>
        <v/>
      </c>
      <c r="SQ5">
        <f>BDS("COB US Equity","SUPPLY_CHAIN_SUPPLIERS_FULL_DATA")</f>
        <v/>
      </c>
      <c r="TE5">
        <f>BDS("COB US Equity","SUPPLY_CHAIN_CUSTOMERS_FULL_DATA")</f>
        <v/>
      </c>
      <c r="TU5">
        <f>BDS("LEBC US Equity","SUPPLY_CHAIN_SUPPLIERS_FULL_DATA")</f>
        <v/>
      </c>
      <c r="UI5">
        <f>BDS("LEBC US Equity","SUPPLY_CHAIN_CUSTOMERS_FULL_DATA")</f>
        <v/>
      </c>
      <c r="UY5">
        <f>BDS("IEX US Equity","SUPPLY_CHAIN_SUPPLIERS_FULL_DATA")</f>
        <v/>
      </c>
      <c r="VM5">
        <f>BDS("IEX US Equity","SUPPLY_CHAIN_CUSTOMERS_FULL_DATA")</f>
        <v/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4841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4842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4843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4844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4845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4846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4847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4848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4849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4850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4851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4852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4853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4854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4855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4856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4857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4858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4859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4860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FNBG US Equity</t>
        </is>
      </c>
      <c r="AE2" s="3" t="inlineStr">
        <is>
          <t>ACBA US Equity</t>
        </is>
      </c>
      <c r="BI2" s="3" t="inlineStr">
        <is>
          <t>CBBI US Equity</t>
        </is>
      </c>
      <c r="CM2" s="3" t="inlineStr">
        <is>
          <t>544763Q US Equity</t>
        </is>
      </c>
      <c r="DQ2" s="3" t="inlineStr">
        <is>
          <t>GECC US Equity</t>
        </is>
      </c>
      <c r="EU2" s="3" t="inlineStr">
        <is>
          <t>IFCB US Equity</t>
        </is>
      </c>
      <c r="FY2" s="3" t="inlineStr">
        <is>
          <t>NPBC US Equity</t>
        </is>
      </c>
      <c r="HC2" s="3" t="inlineStr">
        <is>
          <t>GBTB US Equity</t>
        </is>
      </c>
      <c r="IG2" s="3" t="inlineStr">
        <is>
          <t>KBH US Equity</t>
        </is>
      </c>
      <c r="JK2" s="3" t="inlineStr">
        <is>
          <t>PARR US Equity</t>
        </is>
      </c>
      <c r="KO2" s="3" t="inlineStr">
        <is>
          <t>GABC US Equity</t>
        </is>
      </c>
      <c r="LS2" s="3" t="inlineStr">
        <is>
          <t>GRKA US Equity</t>
        </is>
      </c>
      <c r="MW2" s="3" t="inlineStr">
        <is>
          <t>CVLY US Equity</t>
        </is>
      </c>
      <c r="OA2" s="3" t="inlineStr">
        <is>
          <t>BCML US Equity</t>
        </is>
      </c>
      <c r="PE2" s="3" t="inlineStr">
        <is>
          <t>PBCA US Equity</t>
        </is>
      </c>
      <c r="QI2" s="3" t="inlineStr">
        <is>
          <t>FELE US Equity</t>
        </is>
      </c>
      <c r="RM2" s="3" t="inlineStr">
        <is>
          <t>CFNL US Equity</t>
        </is>
      </c>
      <c r="SQ2" s="3" t="inlineStr">
        <is>
          <t>nan Equity</t>
        </is>
      </c>
      <c r="TU2" s="3" t="inlineStr">
        <is>
          <t>HBNC US Equity</t>
        </is>
      </c>
      <c r="UY2" s="3" t="inlineStr">
        <is>
          <t>KTO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BDS("FNBG US Equity","SUPPLY_CHAIN_SUPPLIERS_FULL_DATA")</f>
        <v/>
      </c>
      <c r="O5">
        <f>BDS("FNBG US Equity","SUPPLY_CHAIN_CUSTOMERS_FULL_DATA")</f>
        <v/>
      </c>
      <c r="AE5">
        <f>BDS("ACBA US Equity","SUPPLY_CHAIN_SUPPLIERS_FULL_DATA")</f>
        <v/>
      </c>
      <c r="AS5">
        <f>BDS("ACBA US Equity","SUPPLY_CHAIN_CUSTOMERS_FULL_DATA")</f>
        <v/>
      </c>
      <c r="BI5">
        <f>BDS("CBBI US Equity","SUPPLY_CHAIN_SUPPLIERS_FULL_DATA")</f>
        <v/>
      </c>
      <c r="BW5">
        <f>BDS("CBBI US Equity","SUPPLY_CHAIN_CUSTOMERS_FULL_DATA")</f>
        <v/>
      </c>
      <c r="CM5">
        <f>BDS("544763Q US Equity","SUPPLY_CHAIN_SUPPLIERS_FULL_DATA")</f>
        <v/>
      </c>
      <c r="DA5">
        <f>BDS("544763Q US Equity","SUPPLY_CHAIN_CUSTOMERS_FULL_DATA")</f>
        <v/>
      </c>
      <c r="DQ5">
        <f>BDS("GECC US Equity","SUPPLY_CHAIN_SUPPLIERS_FULL_DATA")</f>
        <v/>
      </c>
      <c r="EE5">
        <f>BDS("GECC US Equity","SUPPLY_CHAIN_CUSTOMERS_FULL_DATA")</f>
        <v/>
      </c>
      <c r="EU5">
        <f>BDS("IFCB US Equity","SUPPLY_CHAIN_SUPPLIERS_FULL_DATA")</f>
        <v/>
      </c>
      <c r="FI5">
        <f>BDS("IFCB US Equity","SUPPLY_CHAIN_CUSTOMERS_FULL_DATA")</f>
        <v/>
      </c>
      <c r="FY5">
        <f>BDS("NPBC US Equity","SUPPLY_CHAIN_SUPPLIERS_FULL_DATA")</f>
        <v/>
      </c>
      <c r="GM5">
        <f>BDS("NPBC US Equity","SUPPLY_CHAIN_CUSTOMERS_FULL_DATA")</f>
        <v/>
      </c>
      <c r="HC5">
        <f>BDS("GBTB US Equity","SUPPLY_CHAIN_SUPPLIERS_FULL_DATA")</f>
        <v/>
      </c>
      <c r="HQ5">
        <f>BDS("GBTB US Equity","SUPPLY_CHAIN_CUSTOMERS_FULL_DATA")</f>
        <v/>
      </c>
      <c r="IG5">
        <f>BDS("KBH US Equity","SUPPLY_CHAIN_SUPPLIERS_FULL_DATA")</f>
        <v/>
      </c>
      <c r="IU5">
        <f>BDS("KBH US Equity","SUPPLY_CHAIN_CUSTOMERS_FULL_DATA")</f>
        <v/>
      </c>
      <c r="JK5">
        <f>BDS("PARR US Equity","SUPPLY_CHAIN_SUPPLIERS_FULL_DATA")</f>
        <v/>
      </c>
      <c r="JY5">
        <f>BDS("PARR US Equity","SUPPLY_CHAIN_CUSTOMERS_FULL_DATA")</f>
        <v/>
      </c>
      <c r="KO5">
        <f>BDS("GABC US Equity","SUPPLY_CHAIN_SUPPLIERS_FULL_DATA")</f>
        <v/>
      </c>
      <c r="LC5">
        <f>BDS("GABC US Equity","SUPPLY_CHAIN_CUSTOMERS_FULL_DATA")</f>
        <v/>
      </c>
      <c r="LS5">
        <f>BDS("GRKA US Equity","SUPPLY_CHAIN_SUPPLIERS_FULL_DATA")</f>
        <v/>
      </c>
      <c r="MG5">
        <f>BDS("GRKA US Equity","SUPPLY_CHAIN_CUSTOMERS_FULL_DATA")</f>
        <v/>
      </c>
      <c r="MW5">
        <f>BDS("CVLY US Equity","SUPPLY_CHAIN_SUPPLIERS_FULL_DATA")</f>
        <v/>
      </c>
      <c r="NK5">
        <f>BDS("CVLY US Equity","SUPPLY_CHAIN_CUSTOMERS_FULL_DATA")</f>
        <v/>
      </c>
      <c r="OA5">
        <f>BDS("BCML US Equity","SUPPLY_CHAIN_SUPPLIERS_FULL_DATA")</f>
        <v/>
      </c>
      <c r="OO5">
        <f>BDS("BCML US Equity","SUPPLY_CHAIN_CUSTOMERS_FULL_DATA")</f>
        <v/>
      </c>
      <c r="PE5">
        <f>BDS("PBCA US Equity","SUPPLY_CHAIN_SUPPLIERS_FULL_DATA")</f>
        <v/>
      </c>
      <c r="PS5">
        <f>BDS("PBCA US Equity","SUPPLY_CHAIN_CUSTOMERS_FULL_DATA")</f>
        <v/>
      </c>
      <c r="QI5">
        <f>BDS("FELE US Equity","SUPPLY_CHAIN_SUPPLIERS_FULL_DATA")</f>
        <v/>
      </c>
      <c r="QW5">
        <f>BDS("FELE US Equity","SUPPLY_CHAIN_CUSTOMERS_FULL_DATA")</f>
        <v/>
      </c>
      <c r="RM5">
        <f>BDS("CFNL US Equity","SUPPLY_CHAIN_SUPPLIERS_FULL_DATA")</f>
        <v/>
      </c>
      <c r="SA5">
        <f>BDS("CFNL US Equity","SUPPLY_CHAIN_CUSTOMERS_FULL_DATA")</f>
        <v/>
      </c>
      <c r="SQ5">
        <f>BDS("nan Equity","SUPPLY_CHAIN_SUPPLIERS_FULL_DATA")</f>
        <v/>
      </c>
      <c r="TE5">
        <f>BDS("nan Equity","SUPPLY_CHAIN_CUSTOMERS_FULL_DATA")</f>
        <v/>
      </c>
      <c r="TU5">
        <f>BDS("HBNC US Equity","SUPPLY_CHAIN_SUPPLIERS_FULL_DATA")</f>
        <v/>
      </c>
      <c r="UI5">
        <f>BDS("HBNC US Equity","SUPPLY_CHAIN_CUSTOMERS_FULL_DATA")</f>
        <v/>
      </c>
      <c r="UY5">
        <f>BDS("KTO US Equity","SUPPLY_CHAIN_SUPPLIERS_FULL_DATA")</f>
        <v/>
      </c>
      <c r="VM5">
        <f>BDS("KTO US Equity","SUPPLY_CHAIN_CUSTOMERS_FULL_DATA")</f>
        <v/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4861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4862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4863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4864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4865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4866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4867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4868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4869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4870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4871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4872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4873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4874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4875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4876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4877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4878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4879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4880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USBU US Equity</t>
        </is>
      </c>
      <c r="AE2" s="3" t="inlineStr">
        <is>
          <t>BSRR US Equity</t>
        </is>
      </c>
      <c r="BI2" s="3" t="inlineStr">
        <is>
          <t>CKFB US Equity</t>
        </is>
      </c>
      <c r="CM2" s="3" t="inlineStr">
        <is>
          <t>NRIM US Equity</t>
        </is>
      </c>
      <c r="DQ2" s="3" t="inlineStr">
        <is>
          <t>PRWT US Equity</t>
        </is>
      </c>
      <c r="EU2" s="3" t="inlineStr">
        <is>
          <t>PBNI US Equity</t>
        </is>
      </c>
      <c r="FY2" s="3" t="inlineStr">
        <is>
          <t>FRBA US Equity</t>
        </is>
      </c>
      <c r="HC2" s="3" t="inlineStr">
        <is>
          <t>8374857Q US Equity</t>
        </is>
      </c>
      <c r="IG2" s="3" t="inlineStr">
        <is>
          <t>USEG US Equity</t>
        </is>
      </c>
      <c r="JK2" s="3" t="inlineStr">
        <is>
          <t>EWBC US Equity</t>
        </is>
      </c>
      <c r="KO2" s="3" t="inlineStr">
        <is>
          <t>PWOD US Equity</t>
        </is>
      </c>
      <c r="LS2" s="3" t="inlineStr">
        <is>
          <t>BWFG US Equity</t>
        </is>
      </c>
      <c r="MW2" s="3" t="inlineStr">
        <is>
          <t>CMTY US Equity</t>
        </is>
      </c>
      <c r="OA2" s="3" t="inlineStr">
        <is>
          <t>PCBK US Equity</t>
        </is>
      </c>
      <c r="PE2" s="3" t="inlineStr">
        <is>
          <t>2412675D US Equity</t>
        </is>
      </c>
      <c r="QI2" s="3" t="inlineStr">
        <is>
          <t>RDMPQ US Equity</t>
        </is>
      </c>
      <c r="RM2" s="3" t="inlineStr">
        <is>
          <t>PACW US Equity</t>
        </is>
      </c>
      <c r="SQ2" s="3" t="inlineStr">
        <is>
          <t>JUVF US Equity</t>
        </is>
      </c>
      <c r="TU2" s="3" t="inlineStr">
        <is>
          <t>CNQR US Equity</t>
        </is>
      </c>
      <c r="UY2" s="3" t="inlineStr">
        <is>
          <t>ELA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BDS("USBU US Equity","SUPPLY_CHAIN_SUPPLIERS_FULL_DATA")</f>
        <v/>
      </c>
      <c r="O5">
        <f>BDS("USBU US Equity","SUPPLY_CHAIN_CUSTOMERS_FULL_DATA")</f>
        <v/>
      </c>
      <c r="AE5">
        <f>BDS("BSRR US Equity","SUPPLY_CHAIN_SUPPLIERS_FULL_DATA")</f>
        <v/>
      </c>
      <c r="AS5">
        <f>BDS("BSRR US Equity","SUPPLY_CHAIN_CUSTOMERS_FULL_DATA")</f>
        <v/>
      </c>
      <c r="BI5">
        <f>BDS("CKFB US Equity","SUPPLY_CHAIN_SUPPLIERS_FULL_DATA")</f>
        <v/>
      </c>
      <c r="BW5">
        <f>BDS("CKFB US Equity","SUPPLY_CHAIN_CUSTOMERS_FULL_DATA")</f>
        <v/>
      </c>
      <c r="CM5">
        <f>BDS("NRIM US Equity","SUPPLY_CHAIN_SUPPLIERS_FULL_DATA")</f>
        <v/>
      </c>
      <c r="DA5">
        <f>BDS("NRIM US Equity","SUPPLY_CHAIN_CUSTOMERS_FULL_DATA")</f>
        <v/>
      </c>
      <c r="DQ5">
        <f>BDS("PRWT US Equity","SUPPLY_CHAIN_SUPPLIERS_FULL_DATA")</f>
        <v/>
      </c>
      <c r="EE5">
        <f>BDS("PRWT US Equity","SUPPLY_CHAIN_CUSTOMERS_FULL_DATA")</f>
        <v/>
      </c>
      <c r="EU5">
        <f>BDS("PBNI US Equity","SUPPLY_CHAIN_SUPPLIERS_FULL_DATA")</f>
        <v/>
      </c>
      <c r="FI5">
        <f>BDS("PBNI US Equity","SUPPLY_CHAIN_CUSTOMERS_FULL_DATA")</f>
        <v/>
      </c>
      <c r="FY5">
        <f>BDS("FRBA US Equity","SUPPLY_CHAIN_SUPPLIERS_FULL_DATA")</f>
        <v/>
      </c>
      <c r="GM5">
        <f>BDS("FRBA US Equity","SUPPLY_CHAIN_CUSTOMERS_FULL_DATA")</f>
        <v/>
      </c>
      <c r="HC5">
        <f>BDS("8374857Q US Equity","SUPPLY_CHAIN_SUPPLIERS_FULL_DATA")</f>
        <v/>
      </c>
      <c r="HQ5">
        <f>BDS("8374857Q US Equity","SUPPLY_CHAIN_CUSTOMERS_FULL_DATA")</f>
        <v/>
      </c>
      <c r="IG5">
        <f>BDS("USEG US Equity","SUPPLY_CHAIN_SUPPLIERS_FULL_DATA")</f>
        <v/>
      </c>
      <c r="IU5">
        <f>BDS("USEG US Equity","SUPPLY_CHAIN_CUSTOMERS_FULL_DATA")</f>
        <v/>
      </c>
      <c r="JK5">
        <f>BDS("EWBC US Equity","SUPPLY_CHAIN_SUPPLIERS_FULL_DATA")</f>
        <v/>
      </c>
      <c r="JY5">
        <f>BDS("EWBC US Equity","SUPPLY_CHAIN_CUSTOMERS_FULL_DATA")</f>
        <v/>
      </c>
      <c r="KO5">
        <f>BDS("PWOD US Equity","SUPPLY_CHAIN_SUPPLIERS_FULL_DATA")</f>
        <v/>
      </c>
      <c r="LC5">
        <f>BDS("PWOD US Equity","SUPPLY_CHAIN_CUSTOMERS_FULL_DATA")</f>
        <v/>
      </c>
      <c r="LS5">
        <f>BDS("BWFG US Equity","SUPPLY_CHAIN_SUPPLIERS_FULL_DATA")</f>
        <v/>
      </c>
      <c r="MG5">
        <f>BDS("BWFG US Equity","SUPPLY_CHAIN_CUSTOMERS_FULL_DATA")</f>
        <v/>
      </c>
      <c r="MW5">
        <f>BDS("CMTY US Equity","SUPPLY_CHAIN_SUPPLIERS_FULL_DATA")</f>
        <v/>
      </c>
      <c r="NK5">
        <f>BDS("CMTY US Equity","SUPPLY_CHAIN_CUSTOMERS_FULL_DATA")</f>
        <v/>
      </c>
      <c r="OA5">
        <f>BDS("PCBK US Equity","SUPPLY_CHAIN_SUPPLIERS_FULL_DATA")</f>
        <v/>
      </c>
      <c r="OO5">
        <f>BDS("PCBK US Equity","SUPPLY_CHAIN_CUSTOMERS_FULL_DATA")</f>
        <v/>
      </c>
      <c r="PE5">
        <f>BDS("2412675D US Equity","SUPPLY_CHAIN_SUPPLIERS_FULL_DATA")</f>
        <v/>
      </c>
      <c r="PS5">
        <f>BDS("2412675D US Equity","SUPPLY_CHAIN_CUSTOMERS_FULL_DATA")</f>
        <v/>
      </c>
      <c r="QI5">
        <f>BDS("RDMPQ US Equity","SUPPLY_CHAIN_SUPPLIERS_FULL_DATA")</f>
        <v/>
      </c>
      <c r="QW5">
        <f>BDS("RDMPQ US Equity","SUPPLY_CHAIN_CUSTOMERS_FULL_DATA")</f>
        <v/>
      </c>
      <c r="RM5">
        <f>BDS("PACW US Equity","SUPPLY_CHAIN_SUPPLIERS_FULL_DATA")</f>
        <v/>
      </c>
      <c r="SA5">
        <f>BDS("PACW US Equity","SUPPLY_CHAIN_CUSTOMERS_FULL_DATA")</f>
        <v/>
      </c>
      <c r="SQ5">
        <f>BDS("JUVF US Equity","SUPPLY_CHAIN_SUPPLIERS_FULL_DATA")</f>
        <v/>
      </c>
      <c r="TE5">
        <f>BDS("JUVF US Equity","SUPPLY_CHAIN_CUSTOMERS_FULL_DATA")</f>
        <v/>
      </c>
      <c r="TU5">
        <f>BDS("CNQR US Equity","SUPPLY_CHAIN_SUPPLIERS_FULL_DATA")</f>
        <v/>
      </c>
      <c r="UI5">
        <f>BDS("CNQR US Equity","SUPPLY_CHAIN_CUSTOMERS_FULL_DATA")</f>
        <v/>
      </c>
      <c r="UY5">
        <f>BDS("ELA US Equity","SUPPLY_CHAIN_SUPPLIERS_FULL_DATA")</f>
        <v/>
      </c>
      <c r="VM5">
        <f>BDS("ELA US Equity","SUPPLY_CHAIN_CUSTOMERS_FULL_DATA")</f>
        <v/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4881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4882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4883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4884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4885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4886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4887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4888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4889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4890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4891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4892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4893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4894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4895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4896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4897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4898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4899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4900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SHPI US Equity</t>
        </is>
      </c>
      <c r="AE2" s="3" t="inlineStr">
        <is>
          <t>ASFN US Equity</t>
        </is>
      </c>
      <c r="BI2" s="3" t="inlineStr">
        <is>
          <t>FNFG US Equity</t>
        </is>
      </c>
      <c r="CM2" s="3" t="inlineStr">
        <is>
          <t>DGX US Equity</t>
        </is>
      </c>
      <c r="DQ2" s="3" t="inlineStr">
        <is>
          <t>ENHT US Equity</t>
        </is>
      </c>
      <c r="EU2" s="3" t="inlineStr">
        <is>
          <t>CNSL US Equity</t>
        </is>
      </c>
      <c r="FY2" s="3" t="inlineStr">
        <is>
          <t>1878409D US Equity</t>
        </is>
      </c>
      <c r="HC2" s="3" t="inlineStr">
        <is>
          <t>FOFN US Equity</t>
        </is>
      </c>
      <c r="IG2" s="3" t="inlineStr">
        <is>
          <t>JNJ US Equity</t>
        </is>
      </c>
      <c r="JK2" s="3" t="inlineStr">
        <is>
          <t>SBFG US Equity</t>
        </is>
      </c>
      <c r="KO2" s="3" t="inlineStr">
        <is>
          <t>GORXQ US Equity</t>
        </is>
      </c>
      <c r="LS2" s="3" t="inlineStr">
        <is>
          <t>2592980D US Equity</t>
        </is>
      </c>
      <c r="MW2" s="3" t="inlineStr">
        <is>
          <t>TODDA US Equity</t>
        </is>
      </c>
      <c r="OA2" s="3" t="inlineStr">
        <is>
          <t>1413542D US Equity</t>
        </is>
      </c>
      <c r="PE2" s="3" t="inlineStr">
        <is>
          <t>SEELQ US Equity</t>
        </is>
      </c>
      <c r="QI2" s="3" t="inlineStr">
        <is>
          <t>CCLD US Equity</t>
        </is>
      </c>
      <c r="RM2" s="3" t="inlineStr">
        <is>
          <t>PEBO US Equity</t>
        </is>
      </c>
      <c r="SQ2" s="3" t="inlineStr">
        <is>
          <t>862395Q GR Equity</t>
        </is>
      </c>
      <c r="TU2" s="3" t="inlineStr">
        <is>
          <t>WTT US Equity</t>
        </is>
      </c>
      <c r="UY2" s="3" t="inlineStr">
        <is>
          <t>DYNE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BDS("SHPI US Equity","SUPPLY_CHAIN_SUPPLIERS_FULL_DATA")</f>
        <v/>
      </c>
      <c r="O5">
        <f>BDS("SHPI US Equity","SUPPLY_CHAIN_CUSTOMERS_FULL_DATA")</f>
        <v/>
      </c>
      <c r="AE5">
        <f>BDS("ASFN US Equity","SUPPLY_CHAIN_SUPPLIERS_FULL_DATA")</f>
        <v/>
      </c>
      <c r="AS5">
        <f>BDS("ASFN US Equity","SUPPLY_CHAIN_CUSTOMERS_FULL_DATA")</f>
        <v/>
      </c>
      <c r="BI5">
        <f>BDS("FNFG US Equity","SUPPLY_CHAIN_SUPPLIERS_FULL_DATA")</f>
        <v/>
      </c>
      <c r="BW5">
        <f>BDS("FNFG US Equity","SUPPLY_CHAIN_CUSTOMERS_FULL_DATA")</f>
        <v/>
      </c>
      <c r="CM5">
        <f>BDS("DGX US Equity","SUPPLY_CHAIN_SUPPLIERS_FULL_DATA")</f>
        <v/>
      </c>
      <c r="DA5">
        <f>BDS("DGX US Equity","SUPPLY_CHAIN_CUSTOMERS_FULL_DATA")</f>
        <v/>
      </c>
      <c r="DQ5">
        <f>BDS("ENHT US Equity","SUPPLY_CHAIN_SUPPLIERS_FULL_DATA")</f>
        <v/>
      </c>
      <c r="EE5">
        <f>BDS("ENHT US Equity","SUPPLY_CHAIN_CUSTOMERS_FULL_DATA")</f>
        <v/>
      </c>
      <c r="EU5">
        <f>BDS("CNSL US Equity","SUPPLY_CHAIN_SUPPLIERS_FULL_DATA")</f>
        <v/>
      </c>
      <c r="FI5">
        <f>BDS("CNSL US Equity","SUPPLY_CHAIN_CUSTOMERS_FULL_DATA")</f>
        <v/>
      </c>
      <c r="FY5">
        <f>BDS("1878409D US Equity","SUPPLY_CHAIN_SUPPLIERS_FULL_DATA")</f>
        <v/>
      </c>
      <c r="GM5">
        <f>BDS("1878409D US Equity","SUPPLY_CHAIN_CUSTOMERS_FULL_DATA")</f>
        <v/>
      </c>
      <c r="HC5">
        <f>BDS("FOFN US Equity","SUPPLY_CHAIN_SUPPLIERS_FULL_DATA")</f>
        <v/>
      </c>
      <c r="HQ5">
        <f>BDS("FOFN US Equity","SUPPLY_CHAIN_CUSTOMERS_FULL_DATA")</f>
        <v/>
      </c>
      <c r="IG5">
        <f>BDS("JNJ US Equity","SUPPLY_CHAIN_SUPPLIERS_FULL_DATA")</f>
        <v/>
      </c>
      <c r="IU5">
        <f>BDS("JNJ US Equity","SUPPLY_CHAIN_CUSTOMERS_FULL_DATA")</f>
        <v/>
      </c>
      <c r="JK5">
        <f>BDS("SBFG US Equity","SUPPLY_CHAIN_SUPPLIERS_FULL_DATA")</f>
        <v/>
      </c>
      <c r="JY5">
        <f>BDS("SBFG US Equity","SUPPLY_CHAIN_CUSTOMERS_FULL_DATA")</f>
        <v/>
      </c>
      <c r="KO5">
        <f>BDS("GORXQ US Equity","SUPPLY_CHAIN_SUPPLIERS_FULL_DATA")</f>
        <v/>
      </c>
      <c r="LC5">
        <f>BDS("GORXQ US Equity","SUPPLY_CHAIN_CUSTOMERS_FULL_DATA")</f>
        <v/>
      </c>
      <c r="LS5">
        <f>BDS("2592980D US Equity","SUPPLY_CHAIN_SUPPLIERS_FULL_DATA")</f>
        <v/>
      </c>
      <c r="MG5">
        <f>BDS("2592980D US Equity","SUPPLY_CHAIN_CUSTOMERS_FULL_DATA")</f>
        <v/>
      </c>
      <c r="MW5">
        <f>BDS("TODDA US Equity","SUPPLY_CHAIN_SUPPLIERS_FULL_DATA")</f>
        <v/>
      </c>
      <c r="NK5">
        <f>BDS("TODDA US Equity","SUPPLY_CHAIN_CUSTOMERS_FULL_DATA")</f>
        <v/>
      </c>
      <c r="OA5">
        <f>BDS("1413542D US Equity","SUPPLY_CHAIN_SUPPLIERS_FULL_DATA")</f>
        <v/>
      </c>
      <c r="OO5">
        <f>BDS("1413542D US Equity","SUPPLY_CHAIN_CUSTOMERS_FULL_DATA")</f>
        <v/>
      </c>
      <c r="PE5">
        <f>BDS("SEELQ US Equity","SUPPLY_CHAIN_SUPPLIERS_FULL_DATA")</f>
        <v/>
      </c>
      <c r="PS5">
        <f>BDS("SEELQ US Equity","SUPPLY_CHAIN_CUSTOMERS_FULL_DATA")</f>
        <v/>
      </c>
      <c r="QI5">
        <f>BDS("CCLD US Equity","SUPPLY_CHAIN_SUPPLIERS_FULL_DATA")</f>
        <v/>
      </c>
      <c r="QW5">
        <f>BDS("CCLD US Equity","SUPPLY_CHAIN_CUSTOMERS_FULL_DATA")</f>
        <v/>
      </c>
      <c r="RM5">
        <f>BDS("PEBO US Equity","SUPPLY_CHAIN_SUPPLIERS_FULL_DATA")</f>
        <v/>
      </c>
      <c r="SA5">
        <f>BDS("PEBO US Equity","SUPPLY_CHAIN_CUSTOMERS_FULL_DATA")</f>
        <v/>
      </c>
      <c r="SQ5">
        <f>BDS("862395Q GR Equity","SUPPLY_CHAIN_SUPPLIERS_FULL_DATA")</f>
        <v/>
      </c>
      <c r="TE5">
        <f>BDS("862395Q GR Equity","SUPPLY_CHAIN_CUSTOMERS_FULL_DATA")</f>
        <v/>
      </c>
      <c r="TU5">
        <f>BDS("WTT US Equity","SUPPLY_CHAIN_SUPPLIERS_FULL_DATA")</f>
        <v/>
      </c>
      <c r="UI5">
        <f>BDS("WTT US Equity","SUPPLY_CHAIN_CUSTOMERS_FULL_DATA")</f>
        <v/>
      </c>
      <c r="UY5">
        <f>BDS("DYNE US Equity","SUPPLY_CHAIN_SUPPLIERS_FULL_DATA")</f>
        <v/>
      </c>
      <c r="VM5">
        <f>BDS("DYNE US Equity","SUPPLY_CHAIN_CUSTOMERS_FULL_DATA")</f>
        <v/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4901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4902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4903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4904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4905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4906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4907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4908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4909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4910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4911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4912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4913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4914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4915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4916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4917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4918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4919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4920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LBAI US Equity</t>
        </is>
      </c>
      <c r="AE2" s="3" t="inlineStr">
        <is>
          <t>ATBA AV Equity</t>
        </is>
      </c>
      <c r="BI2" s="3" t="inlineStr">
        <is>
          <t>696119Q US Equity</t>
        </is>
      </c>
      <c r="CM2" s="3" t="inlineStr">
        <is>
          <t>UCB US Equity</t>
        </is>
      </c>
      <c r="DQ2" s="3" t="inlineStr">
        <is>
          <t>CWBC US Equity</t>
        </is>
      </c>
      <c r="EU2" s="3" t="inlineStr">
        <is>
          <t>LJPC US Equity</t>
        </is>
      </c>
      <c r="FY2" s="3" t="inlineStr">
        <is>
          <t>GHC US Equity</t>
        </is>
      </c>
      <c r="HC2" s="3" t="inlineStr">
        <is>
          <t>MGAM US Equity</t>
        </is>
      </c>
      <c r="IG2" s="3" t="inlineStr">
        <is>
          <t>1638692D US Equity</t>
        </is>
      </c>
      <c r="JK2" s="3" t="inlineStr">
        <is>
          <t>QVDX US Equity</t>
        </is>
      </c>
      <c r="KO2" s="3" t="inlineStr">
        <is>
          <t>ALNT US Equity</t>
        </is>
      </c>
      <c r="LS2" s="3" t="inlineStr">
        <is>
          <t>IEP US Equity</t>
        </is>
      </c>
      <c r="MW2" s="3" t="inlineStr">
        <is>
          <t>PFSL US Equity</t>
        </is>
      </c>
      <c r="OA2" s="3" t="inlineStr">
        <is>
          <t>BZBC US Equity</t>
        </is>
      </c>
      <c r="PE2" s="3" t="inlineStr">
        <is>
          <t>0700734D US Equity</t>
        </is>
      </c>
      <c r="QI2" s="3" t="inlineStr">
        <is>
          <t>375689Q US Equity</t>
        </is>
      </c>
      <c r="RM2" s="3" t="inlineStr">
        <is>
          <t>ANGQC US Equity</t>
        </is>
      </c>
      <c r="SQ2" s="3" t="inlineStr">
        <is>
          <t>EPEXQ US Equity</t>
        </is>
      </c>
      <c r="TU2" s="3" t="inlineStr">
        <is>
          <t>PEBO US Equity</t>
        </is>
      </c>
      <c r="UY2" s="3" t="inlineStr">
        <is>
          <t>ALLP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BDS("LBAI US Equity","SUPPLY_CHAIN_SUPPLIERS_FULL_DATA")</f>
        <v/>
      </c>
      <c r="O5">
        <f>BDS("LBAI US Equity","SUPPLY_CHAIN_CUSTOMERS_FULL_DATA")</f>
        <v/>
      </c>
      <c r="AE5">
        <f>BDS("ATBA AV Equity","SUPPLY_CHAIN_SUPPLIERS_FULL_DATA")</f>
        <v/>
      </c>
      <c r="AS5">
        <f>BDS("ATBA AV Equity","SUPPLY_CHAIN_CUSTOMERS_FULL_DATA")</f>
        <v/>
      </c>
      <c r="BI5">
        <f>BDS("696119Q US Equity","SUPPLY_CHAIN_SUPPLIERS_FULL_DATA")</f>
        <v/>
      </c>
      <c r="BW5">
        <f>BDS("696119Q US Equity","SUPPLY_CHAIN_CUSTOMERS_FULL_DATA")</f>
        <v/>
      </c>
      <c r="CM5">
        <f>BDS("UCB US Equity","SUPPLY_CHAIN_SUPPLIERS_FULL_DATA")</f>
        <v/>
      </c>
      <c r="DA5">
        <f>BDS("UCB US Equity","SUPPLY_CHAIN_CUSTOMERS_FULL_DATA")</f>
        <v/>
      </c>
      <c r="DQ5">
        <f>BDS("CWBC US Equity","SUPPLY_CHAIN_SUPPLIERS_FULL_DATA")</f>
        <v/>
      </c>
      <c r="EE5">
        <f>BDS("CWBC US Equity","SUPPLY_CHAIN_CUSTOMERS_FULL_DATA")</f>
        <v/>
      </c>
      <c r="EU5">
        <f>BDS("LJPC US Equity","SUPPLY_CHAIN_SUPPLIERS_FULL_DATA")</f>
        <v/>
      </c>
      <c r="FI5">
        <f>BDS("LJPC US Equity","SUPPLY_CHAIN_CUSTOMERS_FULL_DATA")</f>
        <v/>
      </c>
      <c r="FY5">
        <f>BDS("GHC US Equity","SUPPLY_CHAIN_SUPPLIERS_FULL_DATA")</f>
        <v/>
      </c>
      <c r="GM5">
        <f>BDS("GHC US Equity","SUPPLY_CHAIN_CUSTOMERS_FULL_DATA")</f>
        <v/>
      </c>
      <c r="HC5">
        <f>BDS("MGAM US Equity","SUPPLY_CHAIN_SUPPLIERS_FULL_DATA")</f>
        <v/>
      </c>
      <c r="HQ5">
        <f>BDS("MGAM US Equity","SUPPLY_CHAIN_CUSTOMERS_FULL_DATA")</f>
        <v/>
      </c>
      <c r="IG5">
        <f>BDS("1638692D US Equity","SUPPLY_CHAIN_SUPPLIERS_FULL_DATA")</f>
        <v/>
      </c>
      <c r="IU5">
        <f>BDS("1638692D US Equity","SUPPLY_CHAIN_CUSTOMERS_FULL_DATA")</f>
        <v/>
      </c>
      <c r="JK5">
        <f>BDS("QVDX US Equity","SUPPLY_CHAIN_SUPPLIERS_FULL_DATA")</f>
        <v/>
      </c>
      <c r="JY5">
        <f>BDS("QVDX US Equity","SUPPLY_CHAIN_CUSTOMERS_FULL_DATA")</f>
        <v/>
      </c>
      <c r="KO5">
        <f>BDS("ALNT US Equity","SUPPLY_CHAIN_SUPPLIERS_FULL_DATA")</f>
        <v/>
      </c>
      <c r="LC5">
        <f>BDS("ALNT US Equity","SUPPLY_CHAIN_CUSTOMERS_FULL_DATA")</f>
        <v/>
      </c>
      <c r="LS5">
        <f>BDS("IEP US Equity","SUPPLY_CHAIN_SUPPLIERS_FULL_DATA")</f>
        <v/>
      </c>
      <c r="MG5">
        <f>BDS("IEP US Equity","SUPPLY_CHAIN_CUSTOMERS_FULL_DATA")</f>
        <v/>
      </c>
      <c r="MW5">
        <f>BDS("PFSL US Equity","SUPPLY_CHAIN_SUPPLIERS_FULL_DATA")</f>
        <v/>
      </c>
      <c r="NK5">
        <f>BDS("PFSL US Equity","SUPPLY_CHAIN_CUSTOMERS_FULL_DATA")</f>
        <v/>
      </c>
      <c r="OA5">
        <f>BDS("BZBC US Equity","SUPPLY_CHAIN_SUPPLIERS_FULL_DATA")</f>
        <v/>
      </c>
      <c r="OO5">
        <f>BDS("BZBC US Equity","SUPPLY_CHAIN_CUSTOMERS_FULL_DATA")</f>
        <v/>
      </c>
      <c r="PE5">
        <f>BDS("0700734D US Equity","SUPPLY_CHAIN_SUPPLIERS_FULL_DATA")</f>
        <v/>
      </c>
      <c r="PS5">
        <f>BDS("0700734D US Equity","SUPPLY_CHAIN_CUSTOMERS_FULL_DATA")</f>
        <v/>
      </c>
      <c r="QI5">
        <f>BDS("375689Q US Equity","SUPPLY_CHAIN_SUPPLIERS_FULL_DATA")</f>
        <v/>
      </c>
      <c r="QW5">
        <f>BDS("375689Q US Equity","SUPPLY_CHAIN_CUSTOMERS_FULL_DATA")</f>
        <v/>
      </c>
      <c r="RM5">
        <f>BDS("ANGQC US Equity","SUPPLY_CHAIN_SUPPLIERS_FULL_DATA")</f>
        <v/>
      </c>
      <c r="SA5">
        <f>BDS("ANGQC US Equity","SUPPLY_CHAIN_CUSTOMERS_FULL_DATA")</f>
        <v/>
      </c>
      <c r="SQ5">
        <f>BDS("EPEXQ US Equity","SUPPLY_CHAIN_SUPPLIERS_FULL_DATA")</f>
        <v/>
      </c>
      <c r="TE5">
        <f>BDS("EPEXQ US Equity","SUPPLY_CHAIN_CUSTOMERS_FULL_DATA")</f>
        <v/>
      </c>
      <c r="TU5">
        <f>BDS("PEBO US Equity","SUPPLY_CHAIN_SUPPLIERS_FULL_DATA")</f>
        <v/>
      </c>
      <c r="UI5">
        <f>BDS("PEBO US Equity","SUPPLY_CHAIN_CUSTOMERS_FULL_DATA")</f>
        <v/>
      </c>
      <c r="UY5">
        <f>BDS("ALLP US Equity","SUPPLY_CHAIN_SUPPLIERS_FULL_DATA")</f>
        <v/>
      </c>
      <c r="VM5">
        <f>BDS("ALLP US Equity","SUPPLY_CHAIN_CUSTOMERS_FULL_DATA")</f>
        <v/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4921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4922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4923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4924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4925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4926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4927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4928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4929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4930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4931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4932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4933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4934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4935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4936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4937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4938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4939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4940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EFII US Equity</t>
        </is>
      </c>
      <c r="AE2" s="3" t="inlineStr">
        <is>
          <t>AIII US Equity</t>
        </is>
      </c>
      <c r="BI2" s="3" t="inlineStr">
        <is>
          <t>MJCO US Equity</t>
        </is>
      </c>
      <c r="CM2" s="3" t="inlineStr">
        <is>
          <t>PFE US Equity</t>
        </is>
      </c>
      <c r="DQ2" s="3" t="inlineStr">
        <is>
          <t>ONFC US Equity</t>
        </is>
      </c>
      <c r="EU2" s="3" t="inlineStr">
        <is>
          <t>VERD US Equity</t>
        </is>
      </c>
      <c r="FY2" s="3" t="inlineStr">
        <is>
          <t>TSA US Equity</t>
        </is>
      </c>
      <c r="HC2" s="3" t="inlineStr">
        <is>
          <t>TUTR US Equity</t>
        </is>
      </c>
      <c r="IG2" s="3" t="inlineStr">
        <is>
          <t>CACB US Equity</t>
        </is>
      </c>
      <c r="JK2" s="3" t="inlineStr">
        <is>
          <t>PRPX US Equity</t>
        </is>
      </c>
      <c r="KO2" s="3" t="inlineStr">
        <is>
          <t>KFFB US Equity</t>
        </is>
      </c>
      <c r="LS2" s="3" t="inlineStr">
        <is>
          <t>PFBI US Equity</t>
        </is>
      </c>
      <c r="MW2" s="3" t="inlineStr">
        <is>
          <t>ONVI US Equity</t>
        </is>
      </c>
      <c r="OA2" s="3" t="inlineStr">
        <is>
          <t>MSCC US Equity</t>
        </is>
      </c>
      <c r="PE2" s="3" t="inlineStr">
        <is>
          <t>KEGS US Equity</t>
        </is>
      </c>
      <c r="QI2" s="3" t="inlineStr">
        <is>
          <t>PACW US Equity</t>
        </is>
      </c>
      <c r="RM2" s="3" t="inlineStr">
        <is>
          <t>NATH US Equity</t>
        </is>
      </c>
      <c r="SQ2" s="3" t="inlineStr">
        <is>
          <t>2894314Q US Equity</t>
        </is>
      </c>
      <c r="TU2" s="3" t="inlineStr">
        <is>
          <t>ARL US Equity</t>
        </is>
      </c>
      <c r="UY2" s="3" t="inlineStr">
        <is>
          <t>USXP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BDS("EFII US Equity","SUPPLY_CHAIN_SUPPLIERS_FULL_DATA")</f>
        <v/>
      </c>
      <c r="O5">
        <f>BDS("EFII US Equity","SUPPLY_CHAIN_CUSTOMERS_FULL_DATA")</f>
        <v/>
      </c>
      <c r="AE5">
        <f>BDS("AIII US Equity","SUPPLY_CHAIN_SUPPLIERS_FULL_DATA")</f>
        <v/>
      </c>
      <c r="AS5">
        <f>BDS("AIII US Equity","SUPPLY_CHAIN_CUSTOMERS_FULL_DATA")</f>
        <v/>
      </c>
      <c r="BI5">
        <f>BDS("MJCO US Equity","SUPPLY_CHAIN_SUPPLIERS_FULL_DATA")</f>
        <v/>
      </c>
      <c r="BW5">
        <f>BDS("MJCO US Equity","SUPPLY_CHAIN_CUSTOMERS_FULL_DATA")</f>
        <v/>
      </c>
      <c r="CM5">
        <f>BDS("PFE US Equity","SUPPLY_CHAIN_SUPPLIERS_FULL_DATA")</f>
        <v/>
      </c>
      <c r="DA5">
        <f>BDS("PFE US Equity","SUPPLY_CHAIN_CUSTOMERS_FULL_DATA")</f>
        <v/>
      </c>
      <c r="DQ5">
        <f>BDS("ONFC US Equity","SUPPLY_CHAIN_SUPPLIERS_FULL_DATA")</f>
        <v/>
      </c>
      <c r="EE5">
        <f>BDS("ONFC US Equity","SUPPLY_CHAIN_CUSTOMERS_FULL_DATA")</f>
        <v/>
      </c>
      <c r="EU5">
        <f>BDS("VERD US Equity","SUPPLY_CHAIN_SUPPLIERS_FULL_DATA")</f>
        <v/>
      </c>
      <c r="FI5">
        <f>BDS("VERD US Equity","SUPPLY_CHAIN_CUSTOMERS_FULL_DATA")</f>
        <v/>
      </c>
      <c r="FY5">
        <f>BDS("TSA US Equity","SUPPLY_CHAIN_SUPPLIERS_FULL_DATA")</f>
        <v/>
      </c>
      <c r="GM5">
        <f>BDS("TSA US Equity","SUPPLY_CHAIN_CUSTOMERS_FULL_DATA")</f>
        <v/>
      </c>
      <c r="HC5">
        <f>BDS("TUTR US Equity","SUPPLY_CHAIN_SUPPLIERS_FULL_DATA")</f>
        <v/>
      </c>
      <c r="HQ5">
        <f>BDS("TUTR US Equity","SUPPLY_CHAIN_CUSTOMERS_FULL_DATA")</f>
        <v/>
      </c>
      <c r="IG5">
        <f>BDS("CACB US Equity","SUPPLY_CHAIN_SUPPLIERS_FULL_DATA")</f>
        <v/>
      </c>
      <c r="IU5">
        <f>BDS("CACB US Equity","SUPPLY_CHAIN_CUSTOMERS_FULL_DATA")</f>
        <v/>
      </c>
      <c r="JK5">
        <f>BDS("PRPX US Equity","SUPPLY_CHAIN_SUPPLIERS_FULL_DATA")</f>
        <v/>
      </c>
      <c r="JY5">
        <f>BDS("PRPX US Equity","SUPPLY_CHAIN_CUSTOMERS_FULL_DATA")</f>
        <v/>
      </c>
      <c r="KO5">
        <f>BDS("KFFB US Equity","SUPPLY_CHAIN_SUPPLIERS_FULL_DATA")</f>
        <v/>
      </c>
      <c r="LC5">
        <f>BDS("KFFB US Equity","SUPPLY_CHAIN_CUSTOMERS_FULL_DATA")</f>
        <v/>
      </c>
      <c r="LS5">
        <f>BDS("PFBI US Equity","SUPPLY_CHAIN_SUPPLIERS_FULL_DATA")</f>
        <v/>
      </c>
      <c r="MG5">
        <f>BDS("PFBI US Equity","SUPPLY_CHAIN_CUSTOMERS_FULL_DATA")</f>
        <v/>
      </c>
      <c r="MW5">
        <f>BDS("ONVI US Equity","SUPPLY_CHAIN_SUPPLIERS_FULL_DATA")</f>
        <v/>
      </c>
      <c r="NK5">
        <f>BDS("ONVI US Equity","SUPPLY_CHAIN_CUSTOMERS_FULL_DATA")</f>
        <v/>
      </c>
      <c r="OA5">
        <f>BDS("MSCC US Equity","SUPPLY_CHAIN_SUPPLIERS_FULL_DATA")</f>
        <v/>
      </c>
      <c r="OO5">
        <f>BDS("MSCC US Equity","SUPPLY_CHAIN_CUSTOMERS_FULL_DATA")</f>
        <v/>
      </c>
      <c r="PE5">
        <f>BDS("KEGS US Equity","SUPPLY_CHAIN_SUPPLIERS_FULL_DATA")</f>
        <v/>
      </c>
      <c r="PS5">
        <f>BDS("KEGS US Equity","SUPPLY_CHAIN_CUSTOMERS_FULL_DATA")</f>
        <v/>
      </c>
      <c r="QI5">
        <f>BDS("PACW US Equity","SUPPLY_CHAIN_SUPPLIERS_FULL_DATA")</f>
        <v/>
      </c>
      <c r="QW5">
        <f>BDS("PACW US Equity","SUPPLY_CHAIN_CUSTOMERS_FULL_DATA")</f>
        <v/>
      </c>
      <c r="RM5">
        <f>BDS("NATH US Equity","SUPPLY_CHAIN_SUPPLIERS_FULL_DATA")</f>
        <v/>
      </c>
      <c r="SA5">
        <f>BDS("NATH US Equity","SUPPLY_CHAIN_CUSTOMERS_FULL_DATA")</f>
        <v/>
      </c>
      <c r="SQ5">
        <f>BDS("2894314Q US Equity","SUPPLY_CHAIN_SUPPLIERS_FULL_DATA")</f>
        <v/>
      </c>
      <c r="TE5">
        <f>BDS("2894314Q US Equity","SUPPLY_CHAIN_CUSTOMERS_FULL_DATA")</f>
        <v/>
      </c>
      <c r="TU5">
        <f>BDS("ARL US Equity","SUPPLY_CHAIN_SUPPLIERS_FULL_DATA")</f>
        <v/>
      </c>
      <c r="UI5">
        <f>BDS("ARL US Equity","SUPPLY_CHAIN_CUSTOMERS_FULL_DATA")</f>
        <v/>
      </c>
      <c r="UY5">
        <f>BDS("USXP US Equity","SUPPLY_CHAIN_SUPPLIERS_FULL_DATA")</f>
        <v/>
      </c>
      <c r="VM5">
        <f>BDS("USXP US Equity","SUPPLY_CHAIN_CUSTOMERS_FULL_DATA")</f>
        <v/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4941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4942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4943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4944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4945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4946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4947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4948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4949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4950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4951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4952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4953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4954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4955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4956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4957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4958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4959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4960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MSLPQ US Equity</t>
        </is>
      </c>
      <c r="AE2" s="3" t="inlineStr">
        <is>
          <t>EMCF US Equity</t>
        </is>
      </c>
      <c r="BI2" s="3" t="inlineStr">
        <is>
          <t>UNTC US Equity</t>
        </is>
      </c>
      <c r="CM2" s="3" t="inlineStr">
        <is>
          <t>WWWX US Equity</t>
        </is>
      </c>
      <c r="DQ2" s="3" t="inlineStr">
        <is>
          <t>CLDA US Equity</t>
        </is>
      </c>
      <c r="EU2" s="3" t="inlineStr">
        <is>
          <t>JEF US Equity</t>
        </is>
      </c>
      <c r="FY2" s="3" t="inlineStr">
        <is>
          <t>597946Q US Equity</t>
        </is>
      </c>
      <c r="HC2" s="3" t="inlineStr">
        <is>
          <t>ONFC US Equity</t>
        </is>
      </c>
      <c r="IG2" s="3" t="inlineStr">
        <is>
          <t>MGLD US Equity</t>
        </is>
      </c>
      <c r="JK2" s="3" t="inlineStr">
        <is>
          <t>TRMK US Equity</t>
        </is>
      </c>
      <c r="KO2" s="3" t="inlineStr">
        <is>
          <t>DNDNQ US Equity</t>
        </is>
      </c>
      <c r="LS2" s="3" t="inlineStr">
        <is>
          <t>PCBB US Equity</t>
        </is>
      </c>
      <c r="MW2" s="3" t="inlineStr">
        <is>
          <t>NDN US Equity</t>
        </is>
      </c>
      <c r="OA2" s="3" t="inlineStr">
        <is>
          <t>FNBG US Equity</t>
        </is>
      </c>
      <c r="PE2" s="3" t="inlineStr">
        <is>
          <t>FTRCQ US Equity</t>
        </is>
      </c>
      <c r="QI2" s="3" t="inlineStr">
        <is>
          <t>CARV US Equity</t>
        </is>
      </c>
      <c r="RM2" s="3" t="inlineStr">
        <is>
          <t>CWBK US Equity</t>
        </is>
      </c>
      <c r="SQ2" s="3" t="inlineStr">
        <is>
          <t>HEAL US Equity</t>
        </is>
      </c>
      <c r="TU2" s="3" t="inlineStr">
        <is>
          <t>SSNC US Equity</t>
        </is>
      </c>
      <c r="UY2" s="3" t="inlineStr">
        <is>
          <t>598014Q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BDS("MSLPQ US Equity","SUPPLY_CHAIN_SUPPLIERS_FULL_DATA")</f>
        <v/>
      </c>
      <c r="O5">
        <f>BDS("MSLPQ US Equity","SUPPLY_CHAIN_CUSTOMERS_FULL_DATA")</f>
        <v/>
      </c>
      <c r="AE5">
        <f>BDS("EMCF US Equity","SUPPLY_CHAIN_SUPPLIERS_FULL_DATA")</f>
        <v/>
      </c>
      <c r="AS5">
        <f>BDS("EMCF US Equity","SUPPLY_CHAIN_CUSTOMERS_FULL_DATA")</f>
        <v/>
      </c>
      <c r="BI5">
        <f>BDS("UNTC US Equity","SUPPLY_CHAIN_SUPPLIERS_FULL_DATA")</f>
        <v/>
      </c>
      <c r="BW5">
        <f>BDS("UNTC US Equity","SUPPLY_CHAIN_CUSTOMERS_FULL_DATA")</f>
        <v/>
      </c>
      <c r="CM5">
        <f>BDS("WWWX US Equity","SUPPLY_CHAIN_SUPPLIERS_FULL_DATA")</f>
        <v/>
      </c>
      <c r="DA5">
        <f>BDS("WWWX US Equity","SUPPLY_CHAIN_CUSTOMERS_FULL_DATA")</f>
        <v/>
      </c>
      <c r="DQ5">
        <f>BDS("CLDA US Equity","SUPPLY_CHAIN_SUPPLIERS_FULL_DATA")</f>
        <v/>
      </c>
      <c r="EE5">
        <f>BDS("CLDA US Equity","SUPPLY_CHAIN_CUSTOMERS_FULL_DATA")</f>
        <v/>
      </c>
      <c r="EU5">
        <f>BDS("JEF US Equity","SUPPLY_CHAIN_SUPPLIERS_FULL_DATA")</f>
        <v/>
      </c>
      <c r="FI5">
        <f>BDS("JEF US Equity","SUPPLY_CHAIN_CUSTOMERS_FULL_DATA")</f>
        <v/>
      </c>
      <c r="FY5">
        <f>BDS("597946Q US Equity","SUPPLY_CHAIN_SUPPLIERS_FULL_DATA")</f>
        <v/>
      </c>
      <c r="GM5">
        <f>BDS("597946Q US Equity","SUPPLY_CHAIN_CUSTOMERS_FULL_DATA")</f>
        <v/>
      </c>
      <c r="HC5">
        <f>BDS("ONFC US Equity","SUPPLY_CHAIN_SUPPLIERS_FULL_DATA")</f>
        <v/>
      </c>
      <c r="HQ5">
        <f>BDS("ONFC US Equity","SUPPLY_CHAIN_CUSTOMERS_FULL_DATA")</f>
        <v/>
      </c>
      <c r="IG5">
        <f>BDS("MGLD US Equity","SUPPLY_CHAIN_SUPPLIERS_FULL_DATA")</f>
        <v/>
      </c>
      <c r="IU5">
        <f>BDS("MGLD US Equity","SUPPLY_CHAIN_CUSTOMERS_FULL_DATA")</f>
        <v/>
      </c>
      <c r="JK5">
        <f>BDS("TRMK US Equity","SUPPLY_CHAIN_SUPPLIERS_FULL_DATA")</f>
        <v/>
      </c>
      <c r="JY5">
        <f>BDS("TRMK US Equity","SUPPLY_CHAIN_CUSTOMERS_FULL_DATA")</f>
        <v/>
      </c>
      <c r="KO5">
        <f>BDS("DNDNQ US Equity","SUPPLY_CHAIN_SUPPLIERS_FULL_DATA")</f>
        <v/>
      </c>
      <c r="LC5">
        <f>BDS("DNDNQ US Equity","SUPPLY_CHAIN_CUSTOMERS_FULL_DATA")</f>
        <v/>
      </c>
      <c r="LS5">
        <f>BDS("PCBB US Equity","SUPPLY_CHAIN_SUPPLIERS_FULL_DATA")</f>
        <v/>
      </c>
      <c r="MG5">
        <f>BDS("PCBB US Equity","SUPPLY_CHAIN_CUSTOMERS_FULL_DATA")</f>
        <v/>
      </c>
      <c r="MW5">
        <f>BDS("NDN US Equity","SUPPLY_CHAIN_SUPPLIERS_FULL_DATA")</f>
        <v/>
      </c>
      <c r="NK5">
        <f>BDS("NDN US Equity","SUPPLY_CHAIN_CUSTOMERS_FULL_DATA")</f>
        <v/>
      </c>
      <c r="OA5">
        <f>BDS("FNBG US Equity","SUPPLY_CHAIN_SUPPLIERS_FULL_DATA")</f>
        <v/>
      </c>
      <c r="OO5">
        <f>BDS("FNBG US Equity","SUPPLY_CHAIN_CUSTOMERS_FULL_DATA")</f>
        <v/>
      </c>
      <c r="PE5">
        <f>BDS("FTRCQ US Equity","SUPPLY_CHAIN_SUPPLIERS_FULL_DATA")</f>
        <v/>
      </c>
      <c r="PS5">
        <f>BDS("FTRCQ US Equity","SUPPLY_CHAIN_CUSTOMERS_FULL_DATA")</f>
        <v/>
      </c>
      <c r="QI5">
        <f>BDS("CARV US Equity","SUPPLY_CHAIN_SUPPLIERS_FULL_DATA")</f>
        <v/>
      </c>
      <c r="QW5">
        <f>BDS("CARV US Equity","SUPPLY_CHAIN_CUSTOMERS_FULL_DATA")</f>
        <v/>
      </c>
      <c r="RM5">
        <f>BDS("CWBK US Equity","SUPPLY_CHAIN_SUPPLIERS_FULL_DATA")</f>
        <v/>
      </c>
      <c r="SA5">
        <f>BDS("CWBK US Equity","SUPPLY_CHAIN_CUSTOMERS_FULL_DATA")</f>
        <v/>
      </c>
      <c r="SQ5">
        <f>BDS("HEAL US Equity","SUPPLY_CHAIN_SUPPLIERS_FULL_DATA")</f>
        <v/>
      </c>
      <c r="TE5">
        <f>BDS("HEAL US Equity","SUPPLY_CHAIN_CUSTOMERS_FULL_DATA")</f>
        <v/>
      </c>
      <c r="TU5">
        <f>BDS("SSNC US Equity","SUPPLY_CHAIN_SUPPLIERS_FULL_DATA")</f>
        <v/>
      </c>
      <c r="UI5">
        <f>BDS("SSNC US Equity","SUPPLY_CHAIN_CUSTOMERS_FULL_DATA")</f>
        <v/>
      </c>
      <c r="UY5">
        <f>BDS("598014Q US Equity","SUPPLY_CHAIN_SUPPLIERS_FULL_DATA")</f>
        <v/>
      </c>
      <c r="VM5">
        <f>BDS("598014Q US Equity","SUPPLY_CHAIN_CUSTOMERS_FULL_DATA")</f>
        <v/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W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</cols>
  <sheetData>
    <row r="1">
      <c r="A1" s="1" t="inlineStr">
        <is>
          <t>Deal 4961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4962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4963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4964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4965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4966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4967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4968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4969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4970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4971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4972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4973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4974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4975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4976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4977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4978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4979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1" t="inlineStr">
        <is>
          <t>Deal 4980</t>
        </is>
      </c>
      <c r="UZ1" s="2" t="n"/>
      <c r="VA1" s="2" t="n"/>
      <c r="VB1" s="2" t="n"/>
      <c r="VC1" s="2" t="n"/>
      <c r="VD1" s="2" t="n"/>
      <c r="VE1" s="2" t="n"/>
      <c r="VF1" s="2" t="n"/>
      <c r="VG1" s="2" t="n"/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</row>
    <row r="2">
      <c r="A2" s="3" t="inlineStr">
        <is>
          <t>GBCI US Equity</t>
        </is>
      </c>
      <c r="AE2" s="3" t="inlineStr">
        <is>
          <t>NMIL US Equity</t>
        </is>
      </c>
      <c r="BI2" s="3" t="inlineStr">
        <is>
          <t>INVT US Equity</t>
        </is>
      </c>
      <c r="CM2" s="3" t="inlineStr">
        <is>
          <t>CVST US Equity</t>
        </is>
      </c>
      <c r="DQ2" s="3" t="inlineStr">
        <is>
          <t>FLMK US Equity</t>
        </is>
      </c>
      <c r="EU2" s="3" t="inlineStr">
        <is>
          <t>LGTY US Equity</t>
        </is>
      </c>
      <c r="FY2" s="3" t="inlineStr">
        <is>
          <t>8277795Q US Equity</t>
        </is>
      </c>
      <c r="HC2" s="3" t="inlineStr">
        <is>
          <t>1917130D US Equity</t>
        </is>
      </c>
      <c r="IG2" s="3" t="inlineStr">
        <is>
          <t>SOFN US Equity</t>
        </is>
      </c>
      <c r="JK2" s="3" t="inlineStr">
        <is>
          <t>KERA US Equity</t>
        </is>
      </c>
      <c r="KO2" s="3" t="inlineStr">
        <is>
          <t>1878409D US Equity</t>
        </is>
      </c>
      <c r="LS2" s="3" t="inlineStr">
        <is>
          <t>BSX US Equity</t>
        </is>
      </c>
      <c r="MW2" s="3" t="inlineStr">
        <is>
          <t>BCML US Equity</t>
        </is>
      </c>
      <c r="OA2" s="3" t="inlineStr">
        <is>
          <t>PRGS US Equity</t>
        </is>
      </c>
      <c r="PE2" s="3" t="inlineStr">
        <is>
          <t>ICUI US Equity</t>
        </is>
      </c>
      <c r="QI2" s="3" t="inlineStr">
        <is>
          <t>BNCN US Equity</t>
        </is>
      </c>
      <c r="RM2" s="3" t="inlineStr">
        <is>
          <t>ISBC US Equity</t>
        </is>
      </c>
      <c r="SQ2" s="3" t="inlineStr">
        <is>
          <t>1740293D US Equity</t>
        </is>
      </c>
      <c r="TU2" s="3" t="inlineStr">
        <is>
          <t>EVH US Equity</t>
        </is>
      </c>
      <c r="UY2" s="3" t="inlineStr">
        <is>
          <t>AYTU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  <c r="UY3" s="4" t="inlineStr">
        <is>
          <t>Suppliers</t>
        </is>
      </c>
      <c r="VM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  <c r="UY4" s="5" t="inlineStr">
        <is>
          <t>Entity Ticker</t>
        </is>
      </c>
      <c r="UZ4" s="5" t="inlineStr">
        <is>
          <t>Cost Type</t>
        </is>
      </c>
      <c r="VA4" s="5" t="inlineStr">
        <is>
          <t>Revenue %</t>
        </is>
      </c>
      <c r="VB4" s="5" t="inlineStr">
        <is>
          <t>Cost %</t>
        </is>
      </c>
      <c r="VC4" s="5" t="inlineStr">
        <is>
          <t>Rel. Period</t>
        </is>
      </c>
      <c r="VD4" s="5" t="inlineStr">
        <is>
          <t>Rel. Year</t>
        </is>
      </c>
      <c r="VE4" s="5" t="inlineStr">
        <is>
          <t>Source</t>
        </is>
      </c>
      <c r="VF4" s="5" t="inlineStr">
        <is>
          <t>Rel. Date</t>
        </is>
      </c>
      <c r="VG4" s="5" t="inlineStr">
        <is>
          <t>Rel. Count</t>
        </is>
      </c>
      <c r="VH4" s="5" t="inlineStr">
        <is>
          <t>Rel. Amount</t>
        </is>
      </c>
      <c r="VI4" s="5" t="inlineStr">
        <is>
          <t>Company ID</t>
        </is>
      </c>
      <c r="VJ4" s="5" t="inlineStr">
        <is>
          <t>Company Name</t>
        </is>
      </c>
      <c r="VM4" s="5" t="inlineStr">
        <is>
          <t>Entity Ticker</t>
        </is>
      </c>
      <c r="VN4" s="5" t="inlineStr">
        <is>
          <t>Cost Type</t>
        </is>
      </c>
      <c r="VO4" s="5" t="inlineStr">
        <is>
          <t>Revenue %</t>
        </is>
      </c>
      <c r="VP4" s="5" t="inlineStr">
        <is>
          <t>Cost %</t>
        </is>
      </c>
      <c r="VQ4" s="5" t="inlineStr">
        <is>
          <t>Rel. Period</t>
        </is>
      </c>
      <c r="VR4" s="5" t="inlineStr">
        <is>
          <t>Rel. Year</t>
        </is>
      </c>
      <c r="VS4" s="5" t="inlineStr">
        <is>
          <t>Source</t>
        </is>
      </c>
      <c r="VT4" s="5" t="inlineStr">
        <is>
          <t>Rel. Date</t>
        </is>
      </c>
      <c r="VU4" s="5" t="inlineStr">
        <is>
          <t>Rel. Count</t>
        </is>
      </c>
      <c r="VV4" s="5" t="inlineStr">
        <is>
          <t>Rel. Amount</t>
        </is>
      </c>
      <c r="VW4" s="5" t="inlineStr">
        <is>
          <t>Company ID</t>
        </is>
      </c>
      <c r="VX4" s="5" t="inlineStr">
        <is>
          <t>Company Name</t>
        </is>
      </c>
    </row>
    <row r="5">
      <c r="A5">
        <f>BDS("GBCI US Equity","SUPPLY_CHAIN_SUPPLIERS_FULL_DATA")</f>
        <v/>
      </c>
      <c r="O5">
        <f>BDS("GBCI US Equity","SUPPLY_CHAIN_CUSTOMERS_FULL_DATA")</f>
        <v/>
      </c>
      <c r="AE5">
        <f>BDS("NMIL US Equity","SUPPLY_CHAIN_SUPPLIERS_FULL_DATA")</f>
        <v/>
      </c>
      <c r="AS5">
        <f>BDS("NMIL US Equity","SUPPLY_CHAIN_CUSTOMERS_FULL_DATA")</f>
        <v/>
      </c>
      <c r="BI5">
        <f>BDS("INVT US Equity","SUPPLY_CHAIN_SUPPLIERS_FULL_DATA")</f>
        <v/>
      </c>
      <c r="BW5">
        <f>BDS("INVT US Equity","SUPPLY_CHAIN_CUSTOMERS_FULL_DATA")</f>
        <v/>
      </c>
      <c r="CM5">
        <f>BDS("CVST US Equity","SUPPLY_CHAIN_SUPPLIERS_FULL_DATA")</f>
        <v/>
      </c>
      <c r="DA5">
        <f>BDS("CVST US Equity","SUPPLY_CHAIN_CUSTOMERS_FULL_DATA")</f>
        <v/>
      </c>
      <c r="DQ5">
        <f>BDS("FLMK US Equity","SUPPLY_CHAIN_SUPPLIERS_FULL_DATA")</f>
        <v/>
      </c>
      <c r="EE5">
        <f>BDS("FLMK US Equity","SUPPLY_CHAIN_CUSTOMERS_FULL_DATA")</f>
        <v/>
      </c>
      <c r="EU5">
        <f>BDS("LGTY US Equity","SUPPLY_CHAIN_SUPPLIERS_FULL_DATA")</f>
        <v/>
      </c>
      <c r="FI5">
        <f>BDS("LGTY US Equity","SUPPLY_CHAIN_CUSTOMERS_FULL_DATA")</f>
        <v/>
      </c>
      <c r="FY5">
        <f>BDS("8277795Q US Equity","SUPPLY_CHAIN_SUPPLIERS_FULL_DATA")</f>
        <v/>
      </c>
      <c r="GM5">
        <f>BDS("8277795Q US Equity","SUPPLY_CHAIN_CUSTOMERS_FULL_DATA")</f>
        <v/>
      </c>
      <c r="HC5">
        <f>BDS("1917130D US Equity","SUPPLY_CHAIN_SUPPLIERS_FULL_DATA")</f>
        <v/>
      </c>
      <c r="HQ5">
        <f>BDS("1917130D US Equity","SUPPLY_CHAIN_CUSTOMERS_FULL_DATA")</f>
        <v/>
      </c>
      <c r="IG5">
        <f>BDS("SOFN US Equity","SUPPLY_CHAIN_SUPPLIERS_FULL_DATA")</f>
        <v/>
      </c>
      <c r="IU5">
        <f>BDS("SOFN US Equity","SUPPLY_CHAIN_CUSTOMERS_FULL_DATA")</f>
        <v/>
      </c>
      <c r="JK5">
        <f>BDS("KERA US Equity","SUPPLY_CHAIN_SUPPLIERS_FULL_DATA")</f>
        <v/>
      </c>
      <c r="JY5">
        <f>BDS("KERA US Equity","SUPPLY_CHAIN_CUSTOMERS_FULL_DATA")</f>
        <v/>
      </c>
      <c r="KO5">
        <f>BDS("1878409D US Equity","SUPPLY_CHAIN_SUPPLIERS_FULL_DATA")</f>
        <v/>
      </c>
      <c r="LC5">
        <f>BDS("1878409D US Equity","SUPPLY_CHAIN_CUSTOMERS_FULL_DATA")</f>
        <v/>
      </c>
      <c r="LS5">
        <f>BDS("BSX US Equity","SUPPLY_CHAIN_SUPPLIERS_FULL_DATA")</f>
        <v/>
      </c>
      <c r="MG5">
        <f>BDS("BSX US Equity","SUPPLY_CHAIN_CUSTOMERS_FULL_DATA")</f>
        <v/>
      </c>
      <c r="MW5">
        <f>BDS("BCML US Equity","SUPPLY_CHAIN_SUPPLIERS_FULL_DATA")</f>
        <v/>
      </c>
      <c r="NK5">
        <f>BDS("BCML US Equity","SUPPLY_CHAIN_CUSTOMERS_FULL_DATA")</f>
        <v/>
      </c>
      <c r="OA5">
        <f>BDS("PRGS US Equity","SUPPLY_CHAIN_SUPPLIERS_FULL_DATA")</f>
        <v/>
      </c>
      <c r="OO5">
        <f>BDS("PRGS US Equity","SUPPLY_CHAIN_CUSTOMERS_FULL_DATA")</f>
        <v/>
      </c>
      <c r="PE5">
        <f>BDS("ICUI US Equity","SUPPLY_CHAIN_SUPPLIERS_FULL_DATA")</f>
        <v/>
      </c>
      <c r="PS5">
        <f>BDS("ICUI US Equity","SUPPLY_CHAIN_CUSTOMERS_FULL_DATA")</f>
        <v/>
      </c>
      <c r="QI5">
        <f>BDS("BNCN US Equity","SUPPLY_CHAIN_SUPPLIERS_FULL_DATA")</f>
        <v/>
      </c>
      <c r="QW5">
        <f>BDS("BNCN US Equity","SUPPLY_CHAIN_CUSTOMERS_FULL_DATA")</f>
        <v/>
      </c>
      <c r="RM5">
        <f>BDS("ISBC US Equity","SUPPLY_CHAIN_SUPPLIERS_FULL_DATA")</f>
        <v/>
      </c>
      <c r="SA5">
        <f>BDS("ISBC US Equity","SUPPLY_CHAIN_CUSTOMERS_FULL_DATA")</f>
        <v/>
      </c>
      <c r="SQ5">
        <f>BDS("1740293D US Equity","SUPPLY_CHAIN_SUPPLIERS_FULL_DATA")</f>
        <v/>
      </c>
      <c r="TE5">
        <f>BDS("1740293D US Equity","SUPPLY_CHAIN_CUSTOMERS_FULL_DATA")</f>
        <v/>
      </c>
      <c r="TU5">
        <f>BDS("EVH US Equity","SUPPLY_CHAIN_SUPPLIERS_FULL_DATA")</f>
        <v/>
      </c>
      <c r="UI5">
        <f>BDS("EVH US Equity","SUPPLY_CHAIN_CUSTOMERS_FULL_DATA")</f>
        <v/>
      </c>
      <c r="UY5">
        <f>BDS("AYTU US Equity","SUPPLY_CHAIN_SUPPLIERS_FULL_DATA")</f>
        <v/>
      </c>
      <c r="VM5">
        <f>BDS("AYTU US Equity","SUPPLY_CHAIN_CUSTOMERS_FULL_DATA")</f>
        <v/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UX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</cols>
  <sheetData>
    <row r="1">
      <c r="A1" s="1" t="inlineStr">
        <is>
          <t>Deal 4981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1" t="inlineStr">
        <is>
          <t>Deal 4982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Deal 4983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Deal 4984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1" t="inlineStr">
        <is>
          <t>Deal 4985</t>
        </is>
      </c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1" t="inlineStr">
        <is>
          <t>Deal 4986</t>
        </is>
      </c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1" t="inlineStr">
        <is>
          <t>Deal 4987</t>
        </is>
      </c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1" t="inlineStr">
        <is>
          <t>Deal 4988</t>
        </is>
      </c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inlineStr">
        <is>
          <t>Deal 4989</t>
        </is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1" t="inlineStr">
        <is>
          <t>Deal 4990</t>
        </is>
      </c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1" t="inlineStr">
        <is>
          <t>Deal 4991</t>
        </is>
      </c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1" t="inlineStr">
        <is>
          <t>Deal 4992</t>
        </is>
      </c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1" t="inlineStr">
        <is>
          <t>Deal 4993</t>
        </is>
      </c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1" t="inlineStr">
        <is>
          <t>Deal 4994</t>
        </is>
      </c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1" t="inlineStr">
        <is>
          <t>Deal 4995</t>
        </is>
      </c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1" t="inlineStr">
        <is>
          <t>Deal 4996</t>
        </is>
      </c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1" t="inlineStr">
        <is>
          <t>Deal 4997</t>
        </is>
      </c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1" t="inlineStr">
        <is>
          <t>Deal 4998</t>
        </is>
      </c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1" t="inlineStr">
        <is>
          <t>Deal 4999</t>
        </is>
      </c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</row>
    <row r="2">
      <c r="A2" s="3" t="inlineStr">
        <is>
          <t>UWHR US Equity</t>
        </is>
      </c>
      <c r="AE2" s="3" t="inlineStr">
        <is>
          <t>TSH US Equity</t>
        </is>
      </c>
      <c r="BI2" s="3" t="inlineStr">
        <is>
          <t>MDRR US Equity</t>
        </is>
      </c>
      <c r="CM2" s="3" t="inlineStr">
        <is>
          <t>BCAR US Equity</t>
        </is>
      </c>
      <c r="DQ2" s="3" t="inlineStr">
        <is>
          <t>HBMD US Equity</t>
        </is>
      </c>
      <c r="EU2" s="3" t="inlineStr">
        <is>
          <t>PSBI US Equity</t>
        </is>
      </c>
      <c r="FY2" s="3" t="inlineStr">
        <is>
          <t>1917130D US Equity</t>
        </is>
      </c>
      <c r="HC2" s="3" t="inlineStr">
        <is>
          <t>MFIN US Equity</t>
        </is>
      </c>
      <c r="IG2" s="3" t="inlineStr">
        <is>
          <t>CRN US Equity</t>
        </is>
      </c>
      <c r="JK2" s="3" t="inlineStr">
        <is>
          <t>THCH US Equity</t>
        </is>
      </c>
      <c r="KO2" s="3" t="inlineStr">
        <is>
          <t>TRB US Equity</t>
        </is>
      </c>
      <c r="LS2" s="3" t="inlineStr">
        <is>
          <t>2652Q US Equity</t>
        </is>
      </c>
      <c r="MW2" s="3" t="inlineStr">
        <is>
          <t>FCNCA US Equity</t>
        </is>
      </c>
      <c r="OA2" s="3" t="inlineStr">
        <is>
          <t>HTB US Equity</t>
        </is>
      </c>
      <c r="PE2" s="3" t="inlineStr">
        <is>
          <t>PRES US Equity</t>
        </is>
      </c>
      <c r="QI2" s="3" t="inlineStr">
        <is>
          <t>VDCY US Equity</t>
        </is>
      </c>
      <c r="RM2" s="3" t="inlineStr">
        <is>
          <t>MCRL US Equity</t>
        </is>
      </c>
      <c r="SQ2" s="3" t="inlineStr">
        <is>
          <t>HEOP US Equity</t>
        </is>
      </c>
      <c r="TU2" s="3" t="inlineStr">
        <is>
          <t>1523873D US Equity</t>
        </is>
      </c>
    </row>
    <row r="3">
      <c r="A3" s="4" t="inlineStr">
        <is>
          <t>Suppliers</t>
        </is>
      </c>
      <c r="O3" s="4" t="inlineStr">
        <is>
          <t>Customers</t>
        </is>
      </c>
      <c r="AE3" s="4" t="inlineStr">
        <is>
          <t>Suppliers</t>
        </is>
      </c>
      <c r="AS3" s="4" t="inlineStr">
        <is>
          <t>Customers</t>
        </is>
      </c>
      <c r="BI3" s="4" t="inlineStr">
        <is>
          <t>Suppliers</t>
        </is>
      </c>
      <c r="BW3" s="4" t="inlineStr">
        <is>
          <t>Customers</t>
        </is>
      </c>
      <c r="CM3" s="4" t="inlineStr">
        <is>
          <t>Suppliers</t>
        </is>
      </c>
      <c r="DA3" s="4" t="inlineStr">
        <is>
          <t>Customers</t>
        </is>
      </c>
      <c r="DQ3" s="4" t="inlineStr">
        <is>
          <t>Suppliers</t>
        </is>
      </c>
      <c r="EE3" s="4" t="inlineStr">
        <is>
          <t>Customers</t>
        </is>
      </c>
      <c r="EU3" s="4" t="inlineStr">
        <is>
          <t>Suppliers</t>
        </is>
      </c>
      <c r="FI3" s="4" t="inlineStr">
        <is>
          <t>Customers</t>
        </is>
      </c>
      <c r="FY3" s="4" t="inlineStr">
        <is>
          <t>Suppliers</t>
        </is>
      </c>
      <c r="GM3" s="4" t="inlineStr">
        <is>
          <t>Customers</t>
        </is>
      </c>
      <c r="HC3" s="4" t="inlineStr">
        <is>
          <t>Suppliers</t>
        </is>
      </c>
      <c r="HQ3" s="4" t="inlineStr">
        <is>
          <t>Customers</t>
        </is>
      </c>
      <c r="IG3" s="4" t="inlineStr">
        <is>
          <t>Suppliers</t>
        </is>
      </c>
      <c r="IU3" s="4" t="inlineStr">
        <is>
          <t>Customers</t>
        </is>
      </c>
      <c r="JK3" s="4" t="inlineStr">
        <is>
          <t>Suppliers</t>
        </is>
      </c>
      <c r="JY3" s="4" t="inlineStr">
        <is>
          <t>Customers</t>
        </is>
      </c>
      <c r="KO3" s="4" t="inlineStr">
        <is>
          <t>Suppliers</t>
        </is>
      </c>
      <c r="LC3" s="4" t="inlineStr">
        <is>
          <t>Customers</t>
        </is>
      </c>
      <c r="LS3" s="4" t="inlineStr">
        <is>
          <t>Suppliers</t>
        </is>
      </c>
      <c r="MG3" s="4" t="inlineStr">
        <is>
          <t>Customers</t>
        </is>
      </c>
      <c r="MW3" s="4" t="inlineStr">
        <is>
          <t>Suppliers</t>
        </is>
      </c>
      <c r="NK3" s="4" t="inlineStr">
        <is>
          <t>Customers</t>
        </is>
      </c>
      <c r="OA3" s="4" t="inlineStr">
        <is>
          <t>Suppliers</t>
        </is>
      </c>
      <c r="OO3" s="4" t="inlineStr">
        <is>
          <t>Customers</t>
        </is>
      </c>
      <c r="PE3" s="4" t="inlineStr">
        <is>
          <t>Suppliers</t>
        </is>
      </c>
      <c r="PS3" s="4" t="inlineStr">
        <is>
          <t>Customers</t>
        </is>
      </c>
      <c r="QI3" s="4" t="inlineStr">
        <is>
          <t>Suppliers</t>
        </is>
      </c>
      <c r="QW3" s="4" t="inlineStr">
        <is>
          <t>Customers</t>
        </is>
      </c>
      <c r="RM3" s="4" t="inlineStr">
        <is>
          <t>Suppliers</t>
        </is>
      </c>
      <c r="SA3" s="4" t="inlineStr">
        <is>
          <t>Customers</t>
        </is>
      </c>
      <c r="SQ3" s="4" t="inlineStr">
        <is>
          <t>Suppliers</t>
        </is>
      </c>
      <c r="TE3" s="4" t="inlineStr">
        <is>
          <t>Customers</t>
        </is>
      </c>
      <c r="TU3" s="4" t="inlineStr">
        <is>
          <t>Suppliers</t>
        </is>
      </c>
      <c r="UI3" s="4" t="inlineStr">
        <is>
          <t>Customers</t>
        </is>
      </c>
    </row>
    <row r="4">
      <c r="A4" s="5" t="inlineStr">
        <is>
          <t>Entity Ticker</t>
        </is>
      </c>
      <c r="B4" s="5" t="inlineStr">
        <is>
          <t>Cost Type</t>
        </is>
      </c>
      <c r="C4" s="5" t="inlineStr">
        <is>
          <t>Revenue %</t>
        </is>
      </c>
      <c r="D4" s="5" t="inlineStr">
        <is>
          <t>Cost %</t>
        </is>
      </c>
      <c r="E4" s="5" t="inlineStr">
        <is>
          <t>Rel. Period</t>
        </is>
      </c>
      <c r="F4" s="5" t="inlineStr">
        <is>
          <t>Rel. Year</t>
        </is>
      </c>
      <c r="G4" s="5" t="inlineStr">
        <is>
          <t>Source</t>
        </is>
      </c>
      <c r="H4" s="5" t="inlineStr">
        <is>
          <t>Rel. Date</t>
        </is>
      </c>
      <c r="I4" s="5" t="inlineStr">
        <is>
          <t>Rel. Count</t>
        </is>
      </c>
      <c r="J4" s="5" t="inlineStr">
        <is>
          <t>Rel. Amount</t>
        </is>
      </c>
      <c r="K4" s="5" t="inlineStr">
        <is>
          <t>Company ID</t>
        </is>
      </c>
      <c r="L4" s="5" t="inlineStr">
        <is>
          <t>Company Name</t>
        </is>
      </c>
      <c r="O4" s="5" t="inlineStr">
        <is>
          <t>Entity Ticker</t>
        </is>
      </c>
      <c r="P4" s="5" t="inlineStr">
        <is>
          <t>Cost Type</t>
        </is>
      </c>
      <c r="Q4" s="5" t="inlineStr">
        <is>
          <t>Revenue %</t>
        </is>
      </c>
      <c r="R4" s="5" t="inlineStr">
        <is>
          <t>Cost %</t>
        </is>
      </c>
      <c r="S4" s="5" t="inlineStr">
        <is>
          <t>Rel. Period</t>
        </is>
      </c>
      <c r="T4" s="5" t="inlineStr">
        <is>
          <t>Rel. Year</t>
        </is>
      </c>
      <c r="U4" s="5" t="inlineStr">
        <is>
          <t>Source</t>
        </is>
      </c>
      <c r="V4" s="5" t="inlineStr">
        <is>
          <t>Rel. Date</t>
        </is>
      </c>
      <c r="W4" s="5" t="inlineStr">
        <is>
          <t>Rel. Count</t>
        </is>
      </c>
      <c r="X4" s="5" t="inlineStr">
        <is>
          <t>Rel. Amount</t>
        </is>
      </c>
      <c r="Y4" s="5" t="inlineStr">
        <is>
          <t>Company ID</t>
        </is>
      </c>
      <c r="Z4" s="5" t="inlineStr">
        <is>
          <t>Company Name</t>
        </is>
      </c>
      <c r="AE4" s="5" t="inlineStr">
        <is>
          <t>Entity Ticker</t>
        </is>
      </c>
      <c r="AF4" s="5" t="inlineStr">
        <is>
          <t>Cost Type</t>
        </is>
      </c>
      <c r="AG4" s="5" t="inlineStr">
        <is>
          <t>Revenue %</t>
        </is>
      </c>
      <c r="AH4" s="5" t="inlineStr">
        <is>
          <t>Cost %</t>
        </is>
      </c>
      <c r="AI4" s="5" t="inlineStr">
        <is>
          <t>Rel. Period</t>
        </is>
      </c>
      <c r="AJ4" s="5" t="inlineStr">
        <is>
          <t>Rel. Year</t>
        </is>
      </c>
      <c r="AK4" s="5" t="inlineStr">
        <is>
          <t>Source</t>
        </is>
      </c>
      <c r="AL4" s="5" t="inlineStr">
        <is>
          <t>Rel. Date</t>
        </is>
      </c>
      <c r="AM4" s="5" t="inlineStr">
        <is>
          <t>Rel. Count</t>
        </is>
      </c>
      <c r="AN4" s="5" t="inlineStr">
        <is>
          <t>Rel. Amount</t>
        </is>
      </c>
      <c r="AO4" s="5" t="inlineStr">
        <is>
          <t>Company ID</t>
        </is>
      </c>
      <c r="AP4" s="5" t="inlineStr">
        <is>
          <t>Company Name</t>
        </is>
      </c>
      <c r="AS4" s="5" t="inlineStr">
        <is>
          <t>Entity Ticker</t>
        </is>
      </c>
      <c r="AT4" s="5" t="inlineStr">
        <is>
          <t>Cost Type</t>
        </is>
      </c>
      <c r="AU4" s="5" t="inlineStr">
        <is>
          <t>Revenue %</t>
        </is>
      </c>
      <c r="AV4" s="5" t="inlineStr">
        <is>
          <t>Cost %</t>
        </is>
      </c>
      <c r="AW4" s="5" t="inlineStr">
        <is>
          <t>Rel. Period</t>
        </is>
      </c>
      <c r="AX4" s="5" t="inlineStr">
        <is>
          <t>Rel. Year</t>
        </is>
      </c>
      <c r="AY4" s="5" t="inlineStr">
        <is>
          <t>Source</t>
        </is>
      </c>
      <c r="AZ4" s="5" t="inlineStr">
        <is>
          <t>Rel. Date</t>
        </is>
      </c>
      <c r="BA4" s="5" t="inlineStr">
        <is>
          <t>Rel. Count</t>
        </is>
      </c>
      <c r="BB4" s="5" t="inlineStr">
        <is>
          <t>Rel. Amount</t>
        </is>
      </c>
      <c r="BC4" s="5" t="inlineStr">
        <is>
          <t>Company ID</t>
        </is>
      </c>
      <c r="BD4" s="5" t="inlineStr">
        <is>
          <t>Company Name</t>
        </is>
      </c>
      <c r="BI4" s="5" t="inlineStr">
        <is>
          <t>Entity Ticker</t>
        </is>
      </c>
      <c r="BJ4" s="5" t="inlineStr">
        <is>
          <t>Cost Type</t>
        </is>
      </c>
      <c r="BK4" s="5" t="inlineStr">
        <is>
          <t>Revenue %</t>
        </is>
      </c>
      <c r="BL4" s="5" t="inlineStr">
        <is>
          <t>Cost %</t>
        </is>
      </c>
      <c r="BM4" s="5" t="inlineStr">
        <is>
          <t>Rel. Period</t>
        </is>
      </c>
      <c r="BN4" s="5" t="inlineStr">
        <is>
          <t>Rel. Year</t>
        </is>
      </c>
      <c r="BO4" s="5" t="inlineStr">
        <is>
          <t>Source</t>
        </is>
      </c>
      <c r="BP4" s="5" t="inlineStr">
        <is>
          <t>Rel. Date</t>
        </is>
      </c>
      <c r="BQ4" s="5" t="inlineStr">
        <is>
          <t>Rel. Count</t>
        </is>
      </c>
      <c r="BR4" s="5" t="inlineStr">
        <is>
          <t>Rel. Amount</t>
        </is>
      </c>
      <c r="BS4" s="5" t="inlineStr">
        <is>
          <t>Company ID</t>
        </is>
      </c>
      <c r="BT4" s="5" t="inlineStr">
        <is>
          <t>Company Name</t>
        </is>
      </c>
      <c r="BW4" s="5" t="inlineStr">
        <is>
          <t>Entity Ticker</t>
        </is>
      </c>
      <c r="BX4" s="5" t="inlineStr">
        <is>
          <t>Cost Type</t>
        </is>
      </c>
      <c r="BY4" s="5" t="inlineStr">
        <is>
          <t>Revenue %</t>
        </is>
      </c>
      <c r="BZ4" s="5" t="inlineStr">
        <is>
          <t>Cost %</t>
        </is>
      </c>
      <c r="CA4" s="5" t="inlineStr">
        <is>
          <t>Rel. Period</t>
        </is>
      </c>
      <c r="CB4" s="5" t="inlineStr">
        <is>
          <t>Rel. Year</t>
        </is>
      </c>
      <c r="CC4" s="5" t="inlineStr">
        <is>
          <t>Source</t>
        </is>
      </c>
      <c r="CD4" s="5" t="inlineStr">
        <is>
          <t>Rel. Date</t>
        </is>
      </c>
      <c r="CE4" s="5" t="inlineStr">
        <is>
          <t>Rel. Count</t>
        </is>
      </c>
      <c r="CF4" s="5" t="inlineStr">
        <is>
          <t>Rel. Amount</t>
        </is>
      </c>
      <c r="CG4" s="5" t="inlineStr">
        <is>
          <t>Company ID</t>
        </is>
      </c>
      <c r="CH4" s="5" t="inlineStr">
        <is>
          <t>Company Name</t>
        </is>
      </c>
      <c r="CM4" s="5" t="inlineStr">
        <is>
          <t>Entity Ticker</t>
        </is>
      </c>
      <c r="CN4" s="5" t="inlineStr">
        <is>
          <t>Cost Type</t>
        </is>
      </c>
      <c r="CO4" s="5" t="inlineStr">
        <is>
          <t>Revenue %</t>
        </is>
      </c>
      <c r="CP4" s="5" t="inlineStr">
        <is>
          <t>Cost %</t>
        </is>
      </c>
      <c r="CQ4" s="5" t="inlineStr">
        <is>
          <t>Rel. Period</t>
        </is>
      </c>
      <c r="CR4" s="5" t="inlineStr">
        <is>
          <t>Rel. Year</t>
        </is>
      </c>
      <c r="CS4" s="5" t="inlineStr">
        <is>
          <t>Source</t>
        </is>
      </c>
      <c r="CT4" s="5" t="inlineStr">
        <is>
          <t>Rel. Date</t>
        </is>
      </c>
      <c r="CU4" s="5" t="inlineStr">
        <is>
          <t>Rel. Count</t>
        </is>
      </c>
      <c r="CV4" s="5" t="inlineStr">
        <is>
          <t>Rel. Amount</t>
        </is>
      </c>
      <c r="CW4" s="5" t="inlineStr">
        <is>
          <t>Company ID</t>
        </is>
      </c>
      <c r="CX4" s="5" t="inlineStr">
        <is>
          <t>Company Name</t>
        </is>
      </c>
      <c r="DA4" s="5" t="inlineStr">
        <is>
          <t>Entity Ticker</t>
        </is>
      </c>
      <c r="DB4" s="5" t="inlineStr">
        <is>
          <t>Cost Type</t>
        </is>
      </c>
      <c r="DC4" s="5" t="inlineStr">
        <is>
          <t>Revenue %</t>
        </is>
      </c>
      <c r="DD4" s="5" t="inlineStr">
        <is>
          <t>Cost %</t>
        </is>
      </c>
      <c r="DE4" s="5" t="inlineStr">
        <is>
          <t>Rel. Period</t>
        </is>
      </c>
      <c r="DF4" s="5" t="inlineStr">
        <is>
          <t>Rel. Year</t>
        </is>
      </c>
      <c r="DG4" s="5" t="inlineStr">
        <is>
          <t>Source</t>
        </is>
      </c>
      <c r="DH4" s="5" t="inlineStr">
        <is>
          <t>Rel. Date</t>
        </is>
      </c>
      <c r="DI4" s="5" t="inlineStr">
        <is>
          <t>Rel. Count</t>
        </is>
      </c>
      <c r="DJ4" s="5" t="inlineStr">
        <is>
          <t>Rel. Amount</t>
        </is>
      </c>
      <c r="DK4" s="5" t="inlineStr">
        <is>
          <t>Company ID</t>
        </is>
      </c>
      <c r="DL4" s="5" t="inlineStr">
        <is>
          <t>Company Name</t>
        </is>
      </c>
      <c r="DQ4" s="5" t="inlineStr">
        <is>
          <t>Entity Ticker</t>
        </is>
      </c>
      <c r="DR4" s="5" t="inlineStr">
        <is>
          <t>Cost Type</t>
        </is>
      </c>
      <c r="DS4" s="5" t="inlineStr">
        <is>
          <t>Revenue %</t>
        </is>
      </c>
      <c r="DT4" s="5" t="inlineStr">
        <is>
          <t>Cost %</t>
        </is>
      </c>
      <c r="DU4" s="5" t="inlineStr">
        <is>
          <t>Rel. Period</t>
        </is>
      </c>
      <c r="DV4" s="5" t="inlineStr">
        <is>
          <t>Rel. Year</t>
        </is>
      </c>
      <c r="DW4" s="5" t="inlineStr">
        <is>
          <t>Source</t>
        </is>
      </c>
      <c r="DX4" s="5" t="inlineStr">
        <is>
          <t>Rel. Date</t>
        </is>
      </c>
      <c r="DY4" s="5" t="inlineStr">
        <is>
          <t>Rel. Count</t>
        </is>
      </c>
      <c r="DZ4" s="5" t="inlineStr">
        <is>
          <t>Rel. Amount</t>
        </is>
      </c>
      <c r="EA4" s="5" t="inlineStr">
        <is>
          <t>Company ID</t>
        </is>
      </c>
      <c r="EB4" s="5" t="inlineStr">
        <is>
          <t>Company Name</t>
        </is>
      </c>
      <c r="EE4" s="5" t="inlineStr">
        <is>
          <t>Entity Ticker</t>
        </is>
      </c>
      <c r="EF4" s="5" t="inlineStr">
        <is>
          <t>Cost Type</t>
        </is>
      </c>
      <c r="EG4" s="5" t="inlineStr">
        <is>
          <t>Revenue %</t>
        </is>
      </c>
      <c r="EH4" s="5" t="inlineStr">
        <is>
          <t>Cost %</t>
        </is>
      </c>
      <c r="EI4" s="5" t="inlineStr">
        <is>
          <t>Rel. Period</t>
        </is>
      </c>
      <c r="EJ4" s="5" t="inlineStr">
        <is>
          <t>Rel. Year</t>
        </is>
      </c>
      <c r="EK4" s="5" t="inlineStr">
        <is>
          <t>Source</t>
        </is>
      </c>
      <c r="EL4" s="5" t="inlineStr">
        <is>
          <t>Rel. Date</t>
        </is>
      </c>
      <c r="EM4" s="5" t="inlineStr">
        <is>
          <t>Rel. Count</t>
        </is>
      </c>
      <c r="EN4" s="5" t="inlineStr">
        <is>
          <t>Rel. Amount</t>
        </is>
      </c>
      <c r="EO4" s="5" t="inlineStr">
        <is>
          <t>Company ID</t>
        </is>
      </c>
      <c r="EP4" s="5" t="inlineStr">
        <is>
          <t>Company Name</t>
        </is>
      </c>
      <c r="EU4" s="5" t="inlineStr">
        <is>
          <t>Entity Ticker</t>
        </is>
      </c>
      <c r="EV4" s="5" t="inlineStr">
        <is>
          <t>Cost Type</t>
        </is>
      </c>
      <c r="EW4" s="5" t="inlineStr">
        <is>
          <t>Revenue %</t>
        </is>
      </c>
      <c r="EX4" s="5" t="inlineStr">
        <is>
          <t>Cost %</t>
        </is>
      </c>
      <c r="EY4" s="5" t="inlineStr">
        <is>
          <t>Rel. Period</t>
        </is>
      </c>
      <c r="EZ4" s="5" t="inlineStr">
        <is>
          <t>Rel. Year</t>
        </is>
      </c>
      <c r="FA4" s="5" t="inlineStr">
        <is>
          <t>Source</t>
        </is>
      </c>
      <c r="FB4" s="5" t="inlineStr">
        <is>
          <t>Rel. Date</t>
        </is>
      </c>
      <c r="FC4" s="5" t="inlineStr">
        <is>
          <t>Rel. Count</t>
        </is>
      </c>
      <c r="FD4" s="5" t="inlineStr">
        <is>
          <t>Rel. Amount</t>
        </is>
      </c>
      <c r="FE4" s="5" t="inlineStr">
        <is>
          <t>Company ID</t>
        </is>
      </c>
      <c r="FF4" s="5" t="inlineStr">
        <is>
          <t>Company Name</t>
        </is>
      </c>
      <c r="FI4" s="5" t="inlineStr">
        <is>
          <t>Entity Ticker</t>
        </is>
      </c>
      <c r="FJ4" s="5" t="inlineStr">
        <is>
          <t>Cost Type</t>
        </is>
      </c>
      <c r="FK4" s="5" t="inlineStr">
        <is>
          <t>Revenue %</t>
        </is>
      </c>
      <c r="FL4" s="5" t="inlineStr">
        <is>
          <t>Cost %</t>
        </is>
      </c>
      <c r="FM4" s="5" t="inlineStr">
        <is>
          <t>Rel. Period</t>
        </is>
      </c>
      <c r="FN4" s="5" t="inlineStr">
        <is>
          <t>Rel. Year</t>
        </is>
      </c>
      <c r="FO4" s="5" t="inlineStr">
        <is>
          <t>Source</t>
        </is>
      </c>
      <c r="FP4" s="5" t="inlineStr">
        <is>
          <t>Rel. Date</t>
        </is>
      </c>
      <c r="FQ4" s="5" t="inlineStr">
        <is>
          <t>Rel. Count</t>
        </is>
      </c>
      <c r="FR4" s="5" t="inlineStr">
        <is>
          <t>Rel. Amount</t>
        </is>
      </c>
      <c r="FS4" s="5" t="inlineStr">
        <is>
          <t>Company ID</t>
        </is>
      </c>
      <c r="FT4" s="5" t="inlineStr">
        <is>
          <t>Company Name</t>
        </is>
      </c>
      <c r="FY4" s="5" t="inlineStr">
        <is>
          <t>Entity Ticker</t>
        </is>
      </c>
      <c r="FZ4" s="5" t="inlineStr">
        <is>
          <t>Cost Type</t>
        </is>
      </c>
      <c r="GA4" s="5" t="inlineStr">
        <is>
          <t>Revenue %</t>
        </is>
      </c>
      <c r="GB4" s="5" t="inlineStr">
        <is>
          <t>Cost %</t>
        </is>
      </c>
      <c r="GC4" s="5" t="inlineStr">
        <is>
          <t>Rel. Period</t>
        </is>
      </c>
      <c r="GD4" s="5" t="inlineStr">
        <is>
          <t>Rel. Year</t>
        </is>
      </c>
      <c r="GE4" s="5" t="inlineStr">
        <is>
          <t>Source</t>
        </is>
      </c>
      <c r="GF4" s="5" t="inlineStr">
        <is>
          <t>Rel. Date</t>
        </is>
      </c>
      <c r="GG4" s="5" t="inlineStr">
        <is>
          <t>Rel. Count</t>
        </is>
      </c>
      <c r="GH4" s="5" t="inlineStr">
        <is>
          <t>Rel. Amount</t>
        </is>
      </c>
      <c r="GI4" s="5" t="inlineStr">
        <is>
          <t>Company ID</t>
        </is>
      </c>
      <c r="GJ4" s="5" t="inlineStr">
        <is>
          <t>Company Name</t>
        </is>
      </c>
      <c r="GM4" s="5" t="inlineStr">
        <is>
          <t>Entity Ticker</t>
        </is>
      </c>
      <c r="GN4" s="5" t="inlineStr">
        <is>
          <t>Cost Type</t>
        </is>
      </c>
      <c r="GO4" s="5" t="inlineStr">
        <is>
          <t>Revenue %</t>
        </is>
      </c>
      <c r="GP4" s="5" t="inlineStr">
        <is>
          <t>Cost %</t>
        </is>
      </c>
      <c r="GQ4" s="5" t="inlineStr">
        <is>
          <t>Rel. Period</t>
        </is>
      </c>
      <c r="GR4" s="5" t="inlineStr">
        <is>
          <t>Rel. Year</t>
        </is>
      </c>
      <c r="GS4" s="5" t="inlineStr">
        <is>
          <t>Source</t>
        </is>
      </c>
      <c r="GT4" s="5" t="inlineStr">
        <is>
          <t>Rel. Date</t>
        </is>
      </c>
      <c r="GU4" s="5" t="inlineStr">
        <is>
          <t>Rel. Count</t>
        </is>
      </c>
      <c r="GV4" s="5" t="inlineStr">
        <is>
          <t>Rel. Amount</t>
        </is>
      </c>
      <c r="GW4" s="5" t="inlineStr">
        <is>
          <t>Company ID</t>
        </is>
      </c>
      <c r="GX4" s="5" t="inlineStr">
        <is>
          <t>Company Name</t>
        </is>
      </c>
      <c r="HC4" s="5" t="inlineStr">
        <is>
          <t>Entity Ticker</t>
        </is>
      </c>
      <c r="HD4" s="5" t="inlineStr">
        <is>
          <t>Cost Type</t>
        </is>
      </c>
      <c r="HE4" s="5" t="inlineStr">
        <is>
          <t>Revenue %</t>
        </is>
      </c>
      <c r="HF4" s="5" t="inlineStr">
        <is>
          <t>Cost %</t>
        </is>
      </c>
      <c r="HG4" s="5" t="inlineStr">
        <is>
          <t>Rel. Period</t>
        </is>
      </c>
      <c r="HH4" s="5" t="inlineStr">
        <is>
          <t>Rel. Year</t>
        </is>
      </c>
      <c r="HI4" s="5" t="inlineStr">
        <is>
          <t>Source</t>
        </is>
      </c>
      <c r="HJ4" s="5" t="inlineStr">
        <is>
          <t>Rel. Date</t>
        </is>
      </c>
      <c r="HK4" s="5" t="inlineStr">
        <is>
          <t>Rel. Count</t>
        </is>
      </c>
      <c r="HL4" s="5" t="inlineStr">
        <is>
          <t>Rel. Amount</t>
        </is>
      </c>
      <c r="HM4" s="5" t="inlineStr">
        <is>
          <t>Company ID</t>
        </is>
      </c>
      <c r="HN4" s="5" t="inlineStr">
        <is>
          <t>Company Name</t>
        </is>
      </c>
      <c r="HQ4" s="5" t="inlineStr">
        <is>
          <t>Entity Ticker</t>
        </is>
      </c>
      <c r="HR4" s="5" t="inlineStr">
        <is>
          <t>Cost Type</t>
        </is>
      </c>
      <c r="HS4" s="5" t="inlineStr">
        <is>
          <t>Revenue %</t>
        </is>
      </c>
      <c r="HT4" s="5" t="inlineStr">
        <is>
          <t>Cost %</t>
        </is>
      </c>
      <c r="HU4" s="5" t="inlineStr">
        <is>
          <t>Rel. Period</t>
        </is>
      </c>
      <c r="HV4" s="5" t="inlineStr">
        <is>
          <t>Rel. Year</t>
        </is>
      </c>
      <c r="HW4" s="5" t="inlineStr">
        <is>
          <t>Source</t>
        </is>
      </c>
      <c r="HX4" s="5" t="inlineStr">
        <is>
          <t>Rel. Date</t>
        </is>
      </c>
      <c r="HY4" s="5" t="inlineStr">
        <is>
          <t>Rel. Count</t>
        </is>
      </c>
      <c r="HZ4" s="5" t="inlineStr">
        <is>
          <t>Rel. Amount</t>
        </is>
      </c>
      <c r="IA4" s="5" t="inlineStr">
        <is>
          <t>Company ID</t>
        </is>
      </c>
      <c r="IB4" s="5" t="inlineStr">
        <is>
          <t>Company Name</t>
        </is>
      </c>
      <c r="IG4" s="5" t="inlineStr">
        <is>
          <t>Entity Ticker</t>
        </is>
      </c>
      <c r="IH4" s="5" t="inlineStr">
        <is>
          <t>Cost Type</t>
        </is>
      </c>
      <c r="II4" s="5" t="inlineStr">
        <is>
          <t>Revenue %</t>
        </is>
      </c>
      <c r="IJ4" s="5" t="inlineStr">
        <is>
          <t>Cost %</t>
        </is>
      </c>
      <c r="IK4" s="5" t="inlineStr">
        <is>
          <t>Rel. Period</t>
        </is>
      </c>
      <c r="IL4" s="5" t="inlineStr">
        <is>
          <t>Rel. Year</t>
        </is>
      </c>
      <c r="IM4" s="5" t="inlineStr">
        <is>
          <t>Source</t>
        </is>
      </c>
      <c r="IN4" s="5" t="inlineStr">
        <is>
          <t>Rel. Date</t>
        </is>
      </c>
      <c r="IO4" s="5" t="inlineStr">
        <is>
          <t>Rel. Count</t>
        </is>
      </c>
      <c r="IP4" s="5" t="inlineStr">
        <is>
          <t>Rel. Amount</t>
        </is>
      </c>
      <c r="IQ4" s="5" t="inlineStr">
        <is>
          <t>Company ID</t>
        </is>
      </c>
      <c r="IR4" s="5" t="inlineStr">
        <is>
          <t>Company Name</t>
        </is>
      </c>
      <c r="IU4" s="5" t="inlineStr">
        <is>
          <t>Entity Ticker</t>
        </is>
      </c>
      <c r="IV4" s="5" t="inlineStr">
        <is>
          <t>Cost Type</t>
        </is>
      </c>
      <c r="IW4" s="5" t="inlineStr">
        <is>
          <t>Revenue %</t>
        </is>
      </c>
      <c r="IX4" s="5" t="inlineStr">
        <is>
          <t>Cost %</t>
        </is>
      </c>
      <c r="IY4" s="5" t="inlineStr">
        <is>
          <t>Rel. Period</t>
        </is>
      </c>
      <c r="IZ4" s="5" t="inlineStr">
        <is>
          <t>Rel. Year</t>
        </is>
      </c>
      <c r="JA4" s="5" t="inlineStr">
        <is>
          <t>Source</t>
        </is>
      </c>
      <c r="JB4" s="5" t="inlineStr">
        <is>
          <t>Rel. Date</t>
        </is>
      </c>
      <c r="JC4" s="5" t="inlineStr">
        <is>
          <t>Rel. Count</t>
        </is>
      </c>
      <c r="JD4" s="5" t="inlineStr">
        <is>
          <t>Rel. Amount</t>
        </is>
      </c>
      <c r="JE4" s="5" t="inlineStr">
        <is>
          <t>Company ID</t>
        </is>
      </c>
      <c r="JF4" s="5" t="inlineStr">
        <is>
          <t>Company Name</t>
        </is>
      </c>
      <c r="JK4" s="5" t="inlineStr">
        <is>
          <t>Entity Ticker</t>
        </is>
      </c>
      <c r="JL4" s="5" t="inlineStr">
        <is>
          <t>Cost Type</t>
        </is>
      </c>
      <c r="JM4" s="5" t="inlineStr">
        <is>
          <t>Revenue %</t>
        </is>
      </c>
      <c r="JN4" s="5" t="inlineStr">
        <is>
          <t>Cost %</t>
        </is>
      </c>
      <c r="JO4" s="5" t="inlineStr">
        <is>
          <t>Rel. Period</t>
        </is>
      </c>
      <c r="JP4" s="5" t="inlineStr">
        <is>
          <t>Rel. Year</t>
        </is>
      </c>
      <c r="JQ4" s="5" t="inlineStr">
        <is>
          <t>Source</t>
        </is>
      </c>
      <c r="JR4" s="5" t="inlineStr">
        <is>
          <t>Rel. Date</t>
        </is>
      </c>
      <c r="JS4" s="5" t="inlineStr">
        <is>
          <t>Rel. Count</t>
        </is>
      </c>
      <c r="JT4" s="5" t="inlineStr">
        <is>
          <t>Rel. Amount</t>
        </is>
      </c>
      <c r="JU4" s="5" t="inlineStr">
        <is>
          <t>Company ID</t>
        </is>
      </c>
      <c r="JV4" s="5" t="inlineStr">
        <is>
          <t>Company Name</t>
        </is>
      </c>
      <c r="JY4" s="5" t="inlineStr">
        <is>
          <t>Entity Ticker</t>
        </is>
      </c>
      <c r="JZ4" s="5" t="inlineStr">
        <is>
          <t>Cost Type</t>
        </is>
      </c>
      <c r="KA4" s="5" t="inlineStr">
        <is>
          <t>Revenue %</t>
        </is>
      </c>
      <c r="KB4" s="5" t="inlineStr">
        <is>
          <t>Cost %</t>
        </is>
      </c>
      <c r="KC4" s="5" t="inlineStr">
        <is>
          <t>Rel. Period</t>
        </is>
      </c>
      <c r="KD4" s="5" t="inlineStr">
        <is>
          <t>Rel. Year</t>
        </is>
      </c>
      <c r="KE4" s="5" t="inlineStr">
        <is>
          <t>Source</t>
        </is>
      </c>
      <c r="KF4" s="5" t="inlineStr">
        <is>
          <t>Rel. Date</t>
        </is>
      </c>
      <c r="KG4" s="5" t="inlineStr">
        <is>
          <t>Rel. Count</t>
        </is>
      </c>
      <c r="KH4" s="5" t="inlineStr">
        <is>
          <t>Rel. Amount</t>
        </is>
      </c>
      <c r="KI4" s="5" t="inlineStr">
        <is>
          <t>Company ID</t>
        </is>
      </c>
      <c r="KJ4" s="5" t="inlineStr">
        <is>
          <t>Company Name</t>
        </is>
      </c>
      <c r="KO4" s="5" t="inlineStr">
        <is>
          <t>Entity Ticker</t>
        </is>
      </c>
      <c r="KP4" s="5" t="inlineStr">
        <is>
          <t>Cost Type</t>
        </is>
      </c>
      <c r="KQ4" s="5" t="inlineStr">
        <is>
          <t>Revenue %</t>
        </is>
      </c>
      <c r="KR4" s="5" t="inlineStr">
        <is>
          <t>Cost %</t>
        </is>
      </c>
      <c r="KS4" s="5" t="inlineStr">
        <is>
          <t>Rel. Period</t>
        </is>
      </c>
      <c r="KT4" s="5" t="inlineStr">
        <is>
          <t>Rel. Year</t>
        </is>
      </c>
      <c r="KU4" s="5" t="inlineStr">
        <is>
          <t>Source</t>
        </is>
      </c>
      <c r="KV4" s="5" t="inlineStr">
        <is>
          <t>Rel. Date</t>
        </is>
      </c>
      <c r="KW4" s="5" t="inlineStr">
        <is>
          <t>Rel. Count</t>
        </is>
      </c>
      <c r="KX4" s="5" t="inlineStr">
        <is>
          <t>Rel. Amount</t>
        </is>
      </c>
      <c r="KY4" s="5" t="inlineStr">
        <is>
          <t>Company ID</t>
        </is>
      </c>
      <c r="KZ4" s="5" t="inlineStr">
        <is>
          <t>Company Name</t>
        </is>
      </c>
      <c r="LC4" s="5" t="inlineStr">
        <is>
          <t>Entity Ticker</t>
        </is>
      </c>
      <c r="LD4" s="5" t="inlineStr">
        <is>
          <t>Cost Type</t>
        </is>
      </c>
      <c r="LE4" s="5" t="inlineStr">
        <is>
          <t>Revenue %</t>
        </is>
      </c>
      <c r="LF4" s="5" t="inlineStr">
        <is>
          <t>Cost %</t>
        </is>
      </c>
      <c r="LG4" s="5" t="inlineStr">
        <is>
          <t>Rel. Period</t>
        </is>
      </c>
      <c r="LH4" s="5" t="inlineStr">
        <is>
          <t>Rel. Year</t>
        </is>
      </c>
      <c r="LI4" s="5" t="inlineStr">
        <is>
          <t>Source</t>
        </is>
      </c>
      <c r="LJ4" s="5" t="inlineStr">
        <is>
          <t>Rel. Date</t>
        </is>
      </c>
      <c r="LK4" s="5" t="inlineStr">
        <is>
          <t>Rel. Count</t>
        </is>
      </c>
      <c r="LL4" s="5" t="inlineStr">
        <is>
          <t>Rel. Amount</t>
        </is>
      </c>
      <c r="LM4" s="5" t="inlineStr">
        <is>
          <t>Company ID</t>
        </is>
      </c>
      <c r="LN4" s="5" t="inlineStr">
        <is>
          <t>Company Name</t>
        </is>
      </c>
      <c r="LS4" s="5" t="inlineStr">
        <is>
          <t>Entity Ticker</t>
        </is>
      </c>
      <c r="LT4" s="5" t="inlineStr">
        <is>
          <t>Cost Type</t>
        </is>
      </c>
      <c r="LU4" s="5" t="inlineStr">
        <is>
          <t>Revenue %</t>
        </is>
      </c>
      <c r="LV4" s="5" t="inlineStr">
        <is>
          <t>Cost %</t>
        </is>
      </c>
      <c r="LW4" s="5" t="inlineStr">
        <is>
          <t>Rel. Period</t>
        </is>
      </c>
      <c r="LX4" s="5" t="inlineStr">
        <is>
          <t>Rel. Year</t>
        </is>
      </c>
      <c r="LY4" s="5" t="inlineStr">
        <is>
          <t>Source</t>
        </is>
      </c>
      <c r="LZ4" s="5" t="inlineStr">
        <is>
          <t>Rel. Date</t>
        </is>
      </c>
      <c r="MA4" s="5" t="inlineStr">
        <is>
          <t>Rel. Count</t>
        </is>
      </c>
      <c r="MB4" s="5" t="inlineStr">
        <is>
          <t>Rel. Amount</t>
        </is>
      </c>
      <c r="MC4" s="5" t="inlineStr">
        <is>
          <t>Company ID</t>
        </is>
      </c>
      <c r="MD4" s="5" t="inlineStr">
        <is>
          <t>Company Name</t>
        </is>
      </c>
      <c r="MG4" s="5" t="inlineStr">
        <is>
          <t>Entity Ticker</t>
        </is>
      </c>
      <c r="MH4" s="5" t="inlineStr">
        <is>
          <t>Cost Type</t>
        </is>
      </c>
      <c r="MI4" s="5" t="inlineStr">
        <is>
          <t>Revenue %</t>
        </is>
      </c>
      <c r="MJ4" s="5" t="inlineStr">
        <is>
          <t>Cost %</t>
        </is>
      </c>
      <c r="MK4" s="5" t="inlineStr">
        <is>
          <t>Rel. Period</t>
        </is>
      </c>
      <c r="ML4" s="5" t="inlineStr">
        <is>
          <t>Rel. Year</t>
        </is>
      </c>
      <c r="MM4" s="5" t="inlineStr">
        <is>
          <t>Source</t>
        </is>
      </c>
      <c r="MN4" s="5" t="inlineStr">
        <is>
          <t>Rel. Date</t>
        </is>
      </c>
      <c r="MO4" s="5" t="inlineStr">
        <is>
          <t>Rel. Count</t>
        </is>
      </c>
      <c r="MP4" s="5" t="inlineStr">
        <is>
          <t>Rel. Amount</t>
        </is>
      </c>
      <c r="MQ4" s="5" t="inlineStr">
        <is>
          <t>Company ID</t>
        </is>
      </c>
      <c r="MR4" s="5" t="inlineStr">
        <is>
          <t>Company Name</t>
        </is>
      </c>
      <c r="MW4" s="5" t="inlineStr">
        <is>
          <t>Entity Ticker</t>
        </is>
      </c>
      <c r="MX4" s="5" t="inlineStr">
        <is>
          <t>Cost Type</t>
        </is>
      </c>
      <c r="MY4" s="5" t="inlineStr">
        <is>
          <t>Revenue %</t>
        </is>
      </c>
      <c r="MZ4" s="5" t="inlineStr">
        <is>
          <t>Cost %</t>
        </is>
      </c>
      <c r="NA4" s="5" t="inlineStr">
        <is>
          <t>Rel. Period</t>
        </is>
      </c>
      <c r="NB4" s="5" t="inlineStr">
        <is>
          <t>Rel. Year</t>
        </is>
      </c>
      <c r="NC4" s="5" t="inlineStr">
        <is>
          <t>Source</t>
        </is>
      </c>
      <c r="ND4" s="5" t="inlineStr">
        <is>
          <t>Rel. Date</t>
        </is>
      </c>
      <c r="NE4" s="5" t="inlineStr">
        <is>
          <t>Rel. Count</t>
        </is>
      </c>
      <c r="NF4" s="5" t="inlineStr">
        <is>
          <t>Rel. Amount</t>
        </is>
      </c>
      <c r="NG4" s="5" t="inlineStr">
        <is>
          <t>Company ID</t>
        </is>
      </c>
      <c r="NH4" s="5" t="inlineStr">
        <is>
          <t>Company Name</t>
        </is>
      </c>
      <c r="NK4" s="5" t="inlineStr">
        <is>
          <t>Entity Ticker</t>
        </is>
      </c>
      <c r="NL4" s="5" t="inlineStr">
        <is>
          <t>Cost Type</t>
        </is>
      </c>
      <c r="NM4" s="5" t="inlineStr">
        <is>
          <t>Revenue %</t>
        </is>
      </c>
      <c r="NN4" s="5" t="inlineStr">
        <is>
          <t>Cost %</t>
        </is>
      </c>
      <c r="NO4" s="5" t="inlineStr">
        <is>
          <t>Rel. Period</t>
        </is>
      </c>
      <c r="NP4" s="5" t="inlineStr">
        <is>
          <t>Rel. Year</t>
        </is>
      </c>
      <c r="NQ4" s="5" t="inlineStr">
        <is>
          <t>Source</t>
        </is>
      </c>
      <c r="NR4" s="5" t="inlineStr">
        <is>
          <t>Rel. Date</t>
        </is>
      </c>
      <c r="NS4" s="5" t="inlineStr">
        <is>
          <t>Rel. Count</t>
        </is>
      </c>
      <c r="NT4" s="5" t="inlineStr">
        <is>
          <t>Rel. Amount</t>
        </is>
      </c>
      <c r="NU4" s="5" t="inlineStr">
        <is>
          <t>Company ID</t>
        </is>
      </c>
      <c r="NV4" s="5" t="inlineStr">
        <is>
          <t>Company Name</t>
        </is>
      </c>
      <c r="OA4" s="5" t="inlineStr">
        <is>
          <t>Entity Ticker</t>
        </is>
      </c>
      <c r="OB4" s="5" t="inlineStr">
        <is>
          <t>Cost Type</t>
        </is>
      </c>
      <c r="OC4" s="5" t="inlineStr">
        <is>
          <t>Revenue %</t>
        </is>
      </c>
      <c r="OD4" s="5" t="inlineStr">
        <is>
          <t>Cost %</t>
        </is>
      </c>
      <c r="OE4" s="5" t="inlineStr">
        <is>
          <t>Rel. Period</t>
        </is>
      </c>
      <c r="OF4" s="5" t="inlineStr">
        <is>
          <t>Rel. Year</t>
        </is>
      </c>
      <c r="OG4" s="5" t="inlineStr">
        <is>
          <t>Source</t>
        </is>
      </c>
      <c r="OH4" s="5" t="inlineStr">
        <is>
          <t>Rel. Date</t>
        </is>
      </c>
      <c r="OI4" s="5" t="inlineStr">
        <is>
          <t>Rel. Count</t>
        </is>
      </c>
      <c r="OJ4" s="5" t="inlineStr">
        <is>
          <t>Rel. Amount</t>
        </is>
      </c>
      <c r="OK4" s="5" t="inlineStr">
        <is>
          <t>Company ID</t>
        </is>
      </c>
      <c r="OL4" s="5" t="inlineStr">
        <is>
          <t>Company Name</t>
        </is>
      </c>
      <c r="OO4" s="5" t="inlineStr">
        <is>
          <t>Entity Ticker</t>
        </is>
      </c>
      <c r="OP4" s="5" t="inlineStr">
        <is>
          <t>Cost Type</t>
        </is>
      </c>
      <c r="OQ4" s="5" t="inlineStr">
        <is>
          <t>Revenue %</t>
        </is>
      </c>
      <c r="OR4" s="5" t="inlineStr">
        <is>
          <t>Cost %</t>
        </is>
      </c>
      <c r="OS4" s="5" t="inlineStr">
        <is>
          <t>Rel. Period</t>
        </is>
      </c>
      <c r="OT4" s="5" t="inlineStr">
        <is>
          <t>Rel. Year</t>
        </is>
      </c>
      <c r="OU4" s="5" t="inlineStr">
        <is>
          <t>Source</t>
        </is>
      </c>
      <c r="OV4" s="5" t="inlineStr">
        <is>
          <t>Rel. Date</t>
        </is>
      </c>
      <c r="OW4" s="5" t="inlineStr">
        <is>
          <t>Rel. Count</t>
        </is>
      </c>
      <c r="OX4" s="5" t="inlineStr">
        <is>
          <t>Rel. Amount</t>
        </is>
      </c>
      <c r="OY4" s="5" t="inlineStr">
        <is>
          <t>Company ID</t>
        </is>
      </c>
      <c r="OZ4" s="5" t="inlineStr">
        <is>
          <t>Company Name</t>
        </is>
      </c>
      <c r="PE4" s="5" t="inlineStr">
        <is>
          <t>Entity Ticker</t>
        </is>
      </c>
      <c r="PF4" s="5" t="inlineStr">
        <is>
          <t>Cost Type</t>
        </is>
      </c>
      <c r="PG4" s="5" t="inlineStr">
        <is>
          <t>Revenue %</t>
        </is>
      </c>
      <c r="PH4" s="5" t="inlineStr">
        <is>
          <t>Cost %</t>
        </is>
      </c>
      <c r="PI4" s="5" t="inlineStr">
        <is>
          <t>Rel. Period</t>
        </is>
      </c>
      <c r="PJ4" s="5" t="inlineStr">
        <is>
          <t>Rel. Year</t>
        </is>
      </c>
      <c r="PK4" s="5" t="inlineStr">
        <is>
          <t>Source</t>
        </is>
      </c>
      <c r="PL4" s="5" t="inlineStr">
        <is>
          <t>Rel. Date</t>
        </is>
      </c>
      <c r="PM4" s="5" t="inlineStr">
        <is>
          <t>Rel. Count</t>
        </is>
      </c>
      <c r="PN4" s="5" t="inlineStr">
        <is>
          <t>Rel. Amount</t>
        </is>
      </c>
      <c r="PO4" s="5" t="inlineStr">
        <is>
          <t>Company ID</t>
        </is>
      </c>
      <c r="PP4" s="5" t="inlineStr">
        <is>
          <t>Company Name</t>
        </is>
      </c>
      <c r="PS4" s="5" t="inlineStr">
        <is>
          <t>Entity Ticker</t>
        </is>
      </c>
      <c r="PT4" s="5" t="inlineStr">
        <is>
          <t>Cost Type</t>
        </is>
      </c>
      <c r="PU4" s="5" t="inlineStr">
        <is>
          <t>Revenue %</t>
        </is>
      </c>
      <c r="PV4" s="5" t="inlineStr">
        <is>
          <t>Cost %</t>
        </is>
      </c>
      <c r="PW4" s="5" t="inlineStr">
        <is>
          <t>Rel. Period</t>
        </is>
      </c>
      <c r="PX4" s="5" t="inlineStr">
        <is>
          <t>Rel. Year</t>
        </is>
      </c>
      <c r="PY4" s="5" t="inlineStr">
        <is>
          <t>Source</t>
        </is>
      </c>
      <c r="PZ4" s="5" t="inlineStr">
        <is>
          <t>Rel. Date</t>
        </is>
      </c>
      <c r="QA4" s="5" t="inlineStr">
        <is>
          <t>Rel. Count</t>
        </is>
      </c>
      <c r="QB4" s="5" t="inlineStr">
        <is>
          <t>Rel. Amount</t>
        </is>
      </c>
      <c r="QC4" s="5" t="inlineStr">
        <is>
          <t>Company ID</t>
        </is>
      </c>
      <c r="QD4" s="5" t="inlineStr">
        <is>
          <t>Company Name</t>
        </is>
      </c>
      <c r="QI4" s="5" t="inlineStr">
        <is>
          <t>Entity Ticker</t>
        </is>
      </c>
      <c r="QJ4" s="5" t="inlineStr">
        <is>
          <t>Cost Type</t>
        </is>
      </c>
      <c r="QK4" s="5" t="inlineStr">
        <is>
          <t>Revenue %</t>
        </is>
      </c>
      <c r="QL4" s="5" t="inlineStr">
        <is>
          <t>Cost %</t>
        </is>
      </c>
      <c r="QM4" s="5" t="inlineStr">
        <is>
          <t>Rel. Period</t>
        </is>
      </c>
      <c r="QN4" s="5" t="inlineStr">
        <is>
          <t>Rel. Year</t>
        </is>
      </c>
      <c r="QO4" s="5" t="inlineStr">
        <is>
          <t>Source</t>
        </is>
      </c>
      <c r="QP4" s="5" t="inlineStr">
        <is>
          <t>Rel. Date</t>
        </is>
      </c>
      <c r="QQ4" s="5" t="inlineStr">
        <is>
          <t>Rel. Count</t>
        </is>
      </c>
      <c r="QR4" s="5" t="inlineStr">
        <is>
          <t>Rel. Amount</t>
        </is>
      </c>
      <c r="QS4" s="5" t="inlineStr">
        <is>
          <t>Company ID</t>
        </is>
      </c>
      <c r="QT4" s="5" t="inlineStr">
        <is>
          <t>Company Name</t>
        </is>
      </c>
      <c r="QW4" s="5" t="inlineStr">
        <is>
          <t>Entity Ticker</t>
        </is>
      </c>
      <c r="QX4" s="5" t="inlineStr">
        <is>
          <t>Cost Type</t>
        </is>
      </c>
      <c r="QY4" s="5" t="inlineStr">
        <is>
          <t>Revenue %</t>
        </is>
      </c>
      <c r="QZ4" s="5" t="inlineStr">
        <is>
          <t>Cost %</t>
        </is>
      </c>
      <c r="RA4" s="5" t="inlineStr">
        <is>
          <t>Rel. Period</t>
        </is>
      </c>
      <c r="RB4" s="5" t="inlineStr">
        <is>
          <t>Rel. Year</t>
        </is>
      </c>
      <c r="RC4" s="5" t="inlineStr">
        <is>
          <t>Source</t>
        </is>
      </c>
      <c r="RD4" s="5" t="inlineStr">
        <is>
          <t>Rel. Date</t>
        </is>
      </c>
      <c r="RE4" s="5" t="inlineStr">
        <is>
          <t>Rel. Count</t>
        </is>
      </c>
      <c r="RF4" s="5" t="inlineStr">
        <is>
          <t>Rel. Amount</t>
        </is>
      </c>
      <c r="RG4" s="5" t="inlineStr">
        <is>
          <t>Company ID</t>
        </is>
      </c>
      <c r="RH4" s="5" t="inlineStr">
        <is>
          <t>Company Name</t>
        </is>
      </c>
      <c r="RM4" s="5" t="inlineStr">
        <is>
          <t>Entity Ticker</t>
        </is>
      </c>
      <c r="RN4" s="5" t="inlineStr">
        <is>
          <t>Cost Type</t>
        </is>
      </c>
      <c r="RO4" s="5" t="inlineStr">
        <is>
          <t>Revenue %</t>
        </is>
      </c>
      <c r="RP4" s="5" t="inlineStr">
        <is>
          <t>Cost %</t>
        </is>
      </c>
      <c r="RQ4" s="5" t="inlineStr">
        <is>
          <t>Rel. Period</t>
        </is>
      </c>
      <c r="RR4" s="5" t="inlineStr">
        <is>
          <t>Rel. Year</t>
        </is>
      </c>
      <c r="RS4" s="5" t="inlineStr">
        <is>
          <t>Source</t>
        </is>
      </c>
      <c r="RT4" s="5" t="inlineStr">
        <is>
          <t>Rel. Date</t>
        </is>
      </c>
      <c r="RU4" s="5" t="inlineStr">
        <is>
          <t>Rel. Count</t>
        </is>
      </c>
      <c r="RV4" s="5" t="inlineStr">
        <is>
          <t>Rel. Amount</t>
        </is>
      </c>
      <c r="RW4" s="5" t="inlineStr">
        <is>
          <t>Company ID</t>
        </is>
      </c>
      <c r="RX4" s="5" t="inlineStr">
        <is>
          <t>Company Name</t>
        </is>
      </c>
      <c r="SA4" s="5" t="inlineStr">
        <is>
          <t>Entity Ticker</t>
        </is>
      </c>
      <c r="SB4" s="5" t="inlineStr">
        <is>
          <t>Cost Type</t>
        </is>
      </c>
      <c r="SC4" s="5" t="inlineStr">
        <is>
          <t>Revenue %</t>
        </is>
      </c>
      <c r="SD4" s="5" t="inlineStr">
        <is>
          <t>Cost %</t>
        </is>
      </c>
      <c r="SE4" s="5" t="inlineStr">
        <is>
          <t>Rel. Period</t>
        </is>
      </c>
      <c r="SF4" s="5" t="inlineStr">
        <is>
          <t>Rel. Year</t>
        </is>
      </c>
      <c r="SG4" s="5" t="inlineStr">
        <is>
          <t>Source</t>
        </is>
      </c>
      <c r="SH4" s="5" t="inlineStr">
        <is>
          <t>Rel. Date</t>
        </is>
      </c>
      <c r="SI4" s="5" t="inlineStr">
        <is>
          <t>Rel. Count</t>
        </is>
      </c>
      <c r="SJ4" s="5" t="inlineStr">
        <is>
          <t>Rel. Amount</t>
        </is>
      </c>
      <c r="SK4" s="5" t="inlineStr">
        <is>
          <t>Company ID</t>
        </is>
      </c>
      <c r="SL4" s="5" t="inlineStr">
        <is>
          <t>Company Name</t>
        </is>
      </c>
      <c r="SQ4" s="5" t="inlineStr">
        <is>
          <t>Entity Ticker</t>
        </is>
      </c>
      <c r="SR4" s="5" t="inlineStr">
        <is>
          <t>Cost Type</t>
        </is>
      </c>
      <c r="SS4" s="5" t="inlineStr">
        <is>
          <t>Revenue %</t>
        </is>
      </c>
      <c r="ST4" s="5" t="inlineStr">
        <is>
          <t>Cost %</t>
        </is>
      </c>
      <c r="SU4" s="5" t="inlineStr">
        <is>
          <t>Rel. Period</t>
        </is>
      </c>
      <c r="SV4" s="5" t="inlineStr">
        <is>
          <t>Rel. Year</t>
        </is>
      </c>
      <c r="SW4" s="5" t="inlineStr">
        <is>
          <t>Source</t>
        </is>
      </c>
      <c r="SX4" s="5" t="inlineStr">
        <is>
          <t>Rel. Date</t>
        </is>
      </c>
      <c r="SY4" s="5" t="inlineStr">
        <is>
          <t>Rel. Count</t>
        </is>
      </c>
      <c r="SZ4" s="5" t="inlineStr">
        <is>
          <t>Rel. Amount</t>
        </is>
      </c>
      <c r="TA4" s="5" t="inlineStr">
        <is>
          <t>Company ID</t>
        </is>
      </c>
      <c r="TB4" s="5" t="inlineStr">
        <is>
          <t>Company Name</t>
        </is>
      </c>
      <c r="TE4" s="5" t="inlineStr">
        <is>
          <t>Entity Ticker</t>
        </is>
      </c>
      <c r="TF4" s="5" t="inlineStr">
        <is>
          <t>Cost Type</t>
        </is>
      </c>
      <c r="TG4" s="5" t="inlineStr">
        <is>
          <t>Revenue %</t>
        </is>
      </c>
      <c r="TH4" s="5" t="inlineStr">
        <is>
          <t>Cost %</t>
        </is>
      </c>
      <c r="TI4" s="5" t="inlineStr">
        <is>
          <t>Rel. Period</t>
        </is>
      </c>
      <c r="TJ4" s="5" t="inlineStr">
        <is>
          <t>Rel. Year</t>
        </is>
      </c>
      <c r="TK4" s="5" t="inlineStr">
        <is>
          <t>Source</t>
        </is>
      </c>
      <c r="TL4" s="5" t="inlineStr">
        <is>
          <t>Rel. Date</t>
        </is>
      </c>
      <c r="TM4" s="5" t="inlineStr">
        <is>
          <t>Rel. Count</t>
        </is>
      </c>
      <c r="TN4" s="5" t="inlineStr">
        <is>
          <t>Rel. Amount</t>
        </is>
      </c>
      <c r="TO4" s="5" t="inlineStr">
        <is>
          <t>Company ID</t>
        </is>
      </c>
      <c r="TP4" s="5" t="inlineStr">
        <is>
          <t>Company Name</t>
        </is>
      </c>
      <c r="TU4" s="5" t="inlineStr">
        <is>
          <t>Entity Ticker</t>
        </is>
      </c>
      <c r="TV4" s="5" t="inlineStr">
        <is>
          <t>Cost Type</t>
        </is>
      </c>
      <c r="TW4" s="5" t="inlineStr">
        <is>
          <t>Revenue %</t>
        </is>
      </c>
      <c r="TX4" s="5" t="inlineStr">
        <is>
          <t>Cost %</t>
        </is>
      </c>
      <c r="TY4" s="5" t="inlineStr">
        <is>
          <t>Rel. Period</t>
        </is>
      </c>
      <c r="TZ4" s="5" t="inlineStr">
        <is>
          <t>Rel. Year</t>
        </is>
      </c>
      <c r="UA4" s="5" t="inlineStr">
        <is>
          <t>Source</t>
        </is>
      </c>
      <c r="UB4" s="5" t="inlineStr">
        <is>
          <t>Rel. Date</t>
        </is>
      </c>
      <c r="UC4" s="5" t="inlineStr">
        <is>
          <t>Rel. Count</t>
        </is>
      </c>
      <c r="UD4" s="5" t="inlineStr">
        <is>
          <t>Rel. Amount</t>
        </is>
      </c>
      <c r="UE4" s="5" t="inlineStr">
        <is>
          <t>Company ID</t>
        </is>
      </c>
      <c r="UF4" s="5" t="inlineStr">
        <is>
          <t>Company Name</t>
        </is>
      </c>
      <c r="UI4" s="5" t="inlineStr">
        <is>
          <t>Entity Ticker</t>
        </is>
      </c>
      <c r="UJ4" s="5" t="inlineStr">
        <is>
          <t>Cost Type</t>
        </is>
      </c>
      <c r="UK4" s="5" t="inlineStr">
        <is>
          <t>Revenue %</t>
        </is>
      </c>
      <c r="UL4" s="5" t="inlineStr">
        <is>
          <t>Cost %</t>
        </is>
      </c>
      <c r="UM4" s="5" t="inlineStr">
        <is>
          <t>Rel. Period</t>
        </is>
      </c>
      <c r="UN4" s="5" t="inlineStr">
        <is>
          <t>Rel. Year</t>
        </is>
      </c>
      <c r="UO4" s="5" t="inlineStr">
        <is>
          <t>Source</t>
        </is>
      </c>
      <c r="UP4" s="5" t="inlineStr">
        <is>
          <t>Rel. Date</t>
        </is>
      </c>
      <c r="UQ4" s="5" t="inlineStr">
        <is>
          <t>Rel. Count</t>
        </is>
      </c>
      <c r="UR4" s="5" t="inlineStr">
        <is>
          <t>Rel. Amount</t>
        </is>
      </c>
      <c r="US4" s="5" t="inlineStr">
        <is>
          <t>Company ID</t>
        </is>
      </c>
      <c r="UT4" s="5" t="inlineStr">
        <is>
          <t>Company Name</t>
        </is>
      </c>
    </row>
    <row r="5">
      <c r="A5">
        <f>BDS("UWHR US Equity","SUPPLY_CHAIN_SUPPLIERS_FULL_DATA")</f>
        <v/>
      </c>
      <c r="O5">
        <f>BDS("UWHR US Equity","SUPPLY_CHAIN_CUSTOMERS_FULL_DATA")</f>
        <v/>
      </c>
      <c r="AE5">
        <f>BDS("TSH US Equity","SUPPLY_CHAIN_SUPPLIERS_FULL_DATA")</f>
        <v/>
      </c>
      <c r="AS5">
        <f>BDS("TSH US Equity","SUPPLY_CHAIN_CUSTOMERS_FULL_DATA")</f>
        <v/>
      </c>
      <c r="BI5">
        <f>BDS("MDRR US Equity","SUPPLY_CHAIN_SUPPLIERS_FULL_DATA")</f>
        <v/>
      </c>
      <c r="BW5">
        <f>BDS("MDRR US Equity","SUPPLY_CHAIN_CUSTOMERS_FULL_DATA")</f>
        <v/>
      </c>
      <c r="CM5">
        <f>BDS("BCAR US Equity","SUPPLY_CHAIN_SUPPLIERS_FULL_DATA")</f>
        <v/>
      </c>
      <c r="DA5">
        <f>BDS("BCAR US Equity","SUPPLY_CHAIN_CUSTOMERS_FULL_DATA")</f>
        <v/>
      </c>
      <c r="DQ5">
        <f>BDS("HBMD US Equity","SUPPLY_CHAIN_SUPPLIERS_FULL_DATA")</f>
        <v/>
      </c>
      <c r="EE5">
        <f>BDS("HBMD US Equity","SUPPLY_CHAIN_CUSTOMERS_FULL_DATA")</f>
        <v/>
      </c>
      <c r="EU5">
        <f>BDS("PSBI US Equity","SUPPLY_CHAIN_SUPPLIERS_FULL_DATA")</f>
        <v/>
      </c>
      <c r="FI5">
        <f>BDS("PSBI US Equity","SUPPLY_CHAIN_CUSTOMERS_FULL_DATA")</f>
        <v/>
      </c>
      <c r="FY5">
        <f>BDS("1917130D US Equity","SUPPLY_CHAIN_SUPPLIERS_FULL_DATA")</f>
        <v/>
      </c>
      <c r="GM5">
        <f>BDS("1917130D US Equity","SUPPLY_CHAIN_CUSTOMERS_FULL_DATA")</f>
        <v/>
      </c>
      <c r="HC5">
        <f>BDS("MFIN US Equity","SUPPLY_CHAIN_SUPPLIERS_FULL_DATA")</f>
        <v/>
      </c>
      <c r="HQ5">
        <f>BDS("MFIN US Equity","SUPPLY_CHAIN_CUSTOMERS_FULL_DATA")</f>
        <v/>
      </c>
      <c r="IG5">
        <f>BDS("CRN US Equity","SUPPLY_CHAIN_SUPPLIERS_FULL_DATA")</f>
        <v/>
      </c>
      <c r="IU5">
        <f>BDS("CRN US Equity","SUPPLY_CHAIN_CUSTOMERS_FULL_DATA")</f>
        <v/>
      </c>
      <c r="JK5">
        <f>BDS("THCH US Equity","SUPPLY_CHAIN_SUPPLIERS_FULL_DATA")</f>
        <v/>
      </c>
      <c r="JY5">
        <f>BDS("THCH US Equity","SUPPLY_CHAIN_CUSTOMERS_FULL_DATA")</f>
        <v/>
      </c>
      <c r="KO5">
        <f>BDS("TRB US Equity","SUPPLY_CHAIN_SUPPLIERS_FULL_DATA")</f>
        <v/>
      </c>
      <c r="LC5">
        <f>BDS("TRB US Equity","SUPPLY_CHAIN_CUSTOMERS_FULL_DATA")</f>
        <v/>
      </c>
      <c r="LS5">
        <f>BDS("2652Q US Equity","SUPPLY_CHAIN_SUPPLIERS_FULL_DATA")</f>
        <v/>
      </c>
      <c r="MG5">
        <f>BDS("2652Q US Equity","SUPPLY_CHAIN_CUSTOMERS_FULL_DATA")</f>
        <v/>
      </c>
      <c r="MW5">
        <f>BDS("FCNCA US Equity","SUPPLY_CHAIN_SUPPLIERS_FULL_DATA")</f>
        <v/>
      </c>
      <c r="NK5">
        <f>BDS("FCNCA US Equity","SUPPLY_CHAIN_CUSTOMERS_FULL_DATA")</f>
        <v/>
      </c>
      <c r="OA5">
        <f>BDS("HTB US Equity","SUPPLY_CHAIN_SUPPLIERS_FULL_DATA")</f>
        <v/>
      </c>
      <c r="OO5">
        <f>BDS("HTB US Equity","SUPPLY_CHAIN_CUSTOMERS_FULL_DATA")</f>
        <v/>
      </c>
      <c r="PE5">
        <f>BDS("PRES US Equity","SUPPLY_CHAIN_SUPPLIERS_FULL_DATA")</f>
        <v/>
      </c>
      <c r="PS5">
        <f>BDS("PRES US Equity","SUPPLY_CHAIN_CUSTOMERS_FULL_DATA")</f>
        <v/>
      </c>
      <c r="QI5">
        <f>BDS("VDCY US Equity","SUPPLY_CHAIN_SUPPLIERS_FULL_DATA")</f>
        <v/>
      </c>
      <c r="QW5">
        <f>BDS("VDCY US Equity","SUPPLY_CHAIN_CUSTOMERS_FULL_DATA")</f>
        <v/>
      </c>
      <c r="RM5">
        <f>BDS("MCRL US Equity","SUPPLY_CHAIN_SUPPLIERS_FULL_DATA")</f>
        <v/>
      </c>
      <c r="SA5">
        <f>BDS("MCRL US Equity","SUPPLY_CHAIN_CUSTOMERS_FULL_DATA")</f>
        <v/>
      </c>
      <c r="SQ5">
        <f>BDS("HEOP US Equity","SUPPLY_CHAIN_SUPPLIERS_FULL_DATA")</f>
        <v/>
      </c>
      <c r="TE5">
        <f>BDS("HEOP US Equity","SUPPLY_CHAIN_CUSTOMERS_FULL_DATA")</f>
        <v/>
      </c>
      <c r="TU5">
        <f>BDS("1523873D US Equity","SUPPLY_CHAIN_SUPPLIERS_FULL_DATA")</f>
        <v/>
      </c>
      <c r="UI5">
        <f>BDS("1523873D US Equity","SUPPLY_CHAIN_CUSTOMERS_FULL_DATA")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2026-03-10T17:05:48Z</dcterms:created>
  <dcterms:modified xsi:type="dcterms:W3CDTF">2026-03-10T17:05:54Z</dcterms:modified>
</cp:coreProperties>
</file>