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24226"/>
  <mc:AlternateContent xmlns:mc="http://schemas.openxmlformats.org/markup-compatibility/2006">
    <mc:Choice Requires="x15">
      <x15ac:absPath xmlns:x15ac="http://schemas.microsoft.com/office/spreadsheetml/2010/11/ac" url="/Users/johnson/Documents/PlatformIO/Projects/nixietube_clock/doc/datasheet/snvc224b/"/>
    </mc:Choice>
  </mc:AlternateContent>
  <xr:revisionPtr revIDLastSave="0" documentId="13_ncr:1_{9CDAD15A-C0C5-A746-9F5A-A718382CEF72}" xr6:coauthVersionLast="47" xr6:coauthVersionMax="47" xr10:uidLastSave="{00000000-0000-0000-0000-000000000000}"/>
  <workbookProtection workbookAlgorithmName="SHA-512" workbookHashValue="gc34FGggw3Ir8zQVSgaZChUqrVvVKYZwhSXpduqtPUD6nQuIaEe42JJKFmE/OmtpkzYp1ZfCj82eR88ZFlGbkQ==" workbookSaltValue="MvI2n84VClkXRpVOZBZk3g==" workbookSpinCount="100000" lockStructure="1"/>
  <bookViews>
    <workbookView xWindow="-7460" yWindow="-28300" windowWidth="51200" windowHeight="28300" xr2:uid="{00000000-000D-0000-FFFF-FFFF00000000}"/>
  </bookViews>
  <sheets>
    <sheet name="Design Converter" sheetId="1" r:id="rId1"/>
    <sheet name="Variable_Management" sheetId="2" state="hidden" r:id="rId2"/>
    <sheet name="Eff_vs_IOUT" sheetId="4" state="hidden" r:id="rId3"/>
    <sheet name="Loop_Modeling" sheetId="5" state="hidden" r:id="rId4"/>
    <sheet name="Constants" sheetId="3" state="hidden" r:id="rId5"/>
    <sheet name="Plot_Management_Eff" sheetId="6" state="hidden" r:id="rId6"/>
    <sheet name="Plot_Management_Sch" sheetId="7" state="hidden" r:id="rId7"/>
    <sheet name="Lists" sheetId="8" state="hidden" r:id="rId8"/>
    <sheet name="Licenses" sheetId="10" r:id="rId9"/>
    <sheet name="Sheet1" sheetId="9" state="hidden" r:id="rId10"/>
  </sheets>
  <externalReferences>
    <externalReference r:id="rId11"/>
  </externalReferences>
  <definedNames>
    <definedName name="Acs">Constants!$B$30</definedName>
    <definedName name="Adc">Loop_Modeling!$B$35</definedName>
    <definedName name="Adc_ea">Loop_Modeling!$B$61</definedName>
    <definedName name="ADC_VINmin">Variable_Management!$B$189</definedName>
    <definedName name="CCOMP">Variable_Management!$B$230</definedName>
    <definedName name="CComp_calc">Variable_Management!$B$229</definedName>
    <definedName name="CHF">Variable_Management!$B$232</definedName>
    <definedName name="Comp_calc">Variable_Management!$B$229</definedName>
    <definedName name="CondMode">OFFSET(Lists!$B$9,0,0,COUNTIF(Lists!$B$9:$B$11,"?CM*"),1)</definedName>
    <definedName name="Cout">Variable_Management!$B$155</definedName>
    <definedName name="Cout_min">Variable_Management!$B$153</definedName>
    <definedName name="D_limit_max">Constants!$B$18</definedName>
    <definedName name="D_limit_min">Constants!$B$16</definedName>
    <definedName name="D_limit_nom">Constants!$B$17</definedName>
    <definedName name="Dc_CCM_VIN_max">Variable_Management!$B$50</definedName>
    <definedName name="Dc_CCM_VIN_min">Variable_Management!$B$42</definedName>
    <definedName name="Dc_CCM_VIN_nom">Variable_Management!$B$46</definedName>
    <definedName name="Dc_DCM_VIN_nom">Variable_Management!$B$62</definedName>
    <definedName name="Dc_max_IC">Variable_Management!$B$21</definedName>
    <definedName name="Dc_max_ideal">Variable_Management!$A$20</definedName>
    <definedName name="Dc_Mode">Variable_Management!$B$36</definedName>
    <definedName name="Dc_Mode_Loop">Loop_Modeling!$B$14</definedName>
    <definedName name="Dc_rip_max">Variable_Management!$B$79</definedName>
    <definedName name="Dc_VIN_max">Variable_Management!$B$31</definedName>
    <definedName name="Dc_VIN_min">Variable_Management!$B$23</definedName>
    <definedName name="Dc_VIN_nom">Variable_Management!$B$27</definedName>
    <definedName name="display_SCH">INDIRECT(Plot_Management_Sch!$A$1)</definedName>
    <definedName name="EFF_est">Variable_Management!$B$17</definedName>
    <definedName name="Eff_vs_IOUT">Plot_Management_Eff!$C$3</definedName>
    <definedName name="fcross">Variable_Management!$B$213</definedName>
    <definedName name="fcross_est">Variable_Management!$B$212</definedName>
    <definedName name="FIR_BYPASSED">'[1]Digital Filter'!$T$84</definedName>
    <definedName name="fp_ea_est">Variable_Management!$B$223</definedName>
    <definedName name="Fsw">Variable_Management!$B$10</definedName>
    <definedName name="fz_ea_est">Variable_Management!$B$221</definedName>
    <definedName name="fz_rhp">Variable_Management!$B$198</definedName>
    <definedName name="Gcomp">Constants!$B$29</definedName>
    <definedName name="Gea_mid_calc">Variable_Management!$B$217</definedName>
    <definedName name="gfs">Variable_Management!$B$249</definedName>
    <definedName name="gm_ea">Constants!$B$34</definedName>
    <definedName name="Gplant_fc_dB">Loop_Modeling!$AD$7</definedName>
    <definedName name="IIN_33">Variable_Management!$B$81</definedName>
    <definedName name="IL_avg_VIN_max">Variable_Management!$B$33</definedName>
    <definedName name="IL_avg_VIN_min">Variable_Management!$B$25</definedName>
    <definedName name="IL_avg_VIN_nom">Variable_Management!$B$29</definedName>
    <definedName name="IL_pk">Variable_Management!$B$142</definedName>
    <definedName name="IL_pk_max">Variable_Management!$B$143</definedName>
    <definedName name="ILp_VINmax">Variable_Management!$B$119</definedName>
    <definedName name="ILp_VINmin">Variable_Management!$B$113</definedName>
    <definedName name="ILp_VINnom">Variable_Management!$B$116</definedName>
    <definedName name="ILrip">Variable_Management!$B$71</definedName>
    <definedName name="ILrip_VINmax">Variable_Management!$B$118</definedName>
    <definedName name="ILrip_VINmin">Variable_Management!$B$112</definedName>
    <definedName name="ILrip_VINnom">Variable_Management!$B$115</definedName>
    <definedName name="IOUT">Variable_Management!$B$14</definedName>
    <definedName name="Ipk_margin">Variable_Management!$B$122</definedName>
    <definedName name="Ipk_selected">Variable_Management!$B$123</definedName>
    <definedName name="IQ">Constants!$B$48</definedName>
    <definedName name="IRMS_COUT">Variable_Management!$B$154</definedName>
    <definedName name="Isl">Constants!$B$25</definedName>
    <definedName name="Iss">Constants!$B$37</definedName>
    <definedName name="Kslope">Variable_Management!$B$130</definedName>
    <definedName name="L_DCM">Variable_Management!$B$89</definedName>
    <definedName name="Lm">Variable_Management!$B$84</definedName>
    <definedName name="Lopt">Variable_Management!$B$76</definedName>
    <definedName name="Lopt_2">Variable_Management!$B$82</definedName>
    <definedName name="POUT">Variable_Management!$B$16</definedName>
    <definedName name="_xlnm.Print_Area" localSheetId="0">'Design Converter'!$A$1:$Z$100</definedName>
    <definedName name="Q">Loop_Modeling!$B$49</definedName>
    <definedName name="Q_VINmin">Variable_Management!$B$206</definedName>
    <definedName name="Qg_tot">Variable_Management!$B$244</definedName>
    <definedName name="Qgd">Variable_Management!$B$245</definedName>
    <definedName name="Qgs">Variable_Management!$B$246</definedName>
    <definedName name="Qrr">Variable_Management!$B$239</definedName>
    <definedName name="R_cs">Variable_Management!$B$138</definedName>
    <definedName name="R_sl">Variable_Management!$B$139</definedName>
    <definedName name="RCOMP">Variable_Management!$B$228</definedName>
    <definedName name="Rcomp_calc">Variable_Management!$B$227</definedName>
    <definedName name="Rcs_max">Variable_Management!$B$127</definedName>
    <definedName name="Rcs_w_sl">Variable_Management!$B$131</definedName>
    <definedName name="Rcs_wo_sl">Variable_Management!$B$128</definedName>
    <definedName name="Rdcr">Variable_Management!$B$85</definedName>
    <definedName name="RDS_on">Variable_Management!$B$243</definedName>
    <definedName name="Resr">Variable_Management!$B$156</definedName>
    <definedName name="RFBB">Variable_Management!$B$184</definedName>
    <definedName name="RFBB_calc">Variable_Management!$B$183</definedName>
    <definedName name="RFBT">Variable_Management!$B$182</definedName>
    <definedName name="Rgate">Variable_Management!$B$247</definedName>
    <definedName name="ROUT">Variable_Management!$B$15</definedName>
    <definedName name="Rsl_int">Constants!$B$26</definedName>
    <definedName name="Rsl_max">Constants!$B$28</definedName>
    <definedName name="RT">Variable_Management!$B$11</definedName>
    <definedName name="Ruvlo_bottom_calc">Variable_Management!$B$173</definedName>
    <definedName name="Ruvlo_top">Variable_Management!$B$172</definedName>
    <definedName name="Ruvlo_top_calc">Variable_Management!$B$171</definedName>
    <definedName name="SCH_1">Plot_Management_Sch!$B$2</definedName>
    <definedName name="SCH_2">Plot_Management_Sch!$B$4</definedName>
    <definedName name="Se_VINmin">Variable_Management!$B$202</definedName>
    <definedName name="Sn_VINmin">Variable_Management!$B$203</definedName>
    <definedName name="tf_sw">Variable_Management!$B$256</definedName>
    <definedName name="tr_sw">Variable_Management!$B$255</definedName>
    <definedName name="tss">Variable_Management!$B$162</definedName>
    <definedName name="UV_fall">Constants!$B$41</definedName>
    <definedName name="UV_I_hyst">Constants!$B$42</definedName>
    <definedName name="UV_rise">Constants!$B$40</definedName>
    <definedName name="Vcc">Constants!$B$45</definedName>
    <definedName name="Vcl">Constants!$B$27</definedName>
    <definedName name="Vd_rect">Variable_Management!$B$238</definedName>
    <definedName name="VIN_33">Variable_Management!$B$80</definedName>
    <definedName name="VIN_max">Variable_Management!$B$9</definedName>
    <definedName name="VIN_min">Variable_Management!$B$7</definedName>
    <definedName name="VIN_nom">Variable_Management!$B$8</definedName>
    <definedName name="VIN_op_max">Constants!$B$52</definedName>
    <definedName name="VIN_op_max_56">Constants!$B$53</definedName>
    <definedName name="VIN_op_min">Constants!$B$51</definedName>
    <definedName name="VIN_var">Variable_Management!$B$8</definedName>
    <definedName name="VOUT">Variable_Management!$B$13</definedName>
    <definedName name="Vout_rip_sel">Variable_Management!$B$152</definedName>
    <definedName name="Vref">Constants!$B$33</definedName>
    <definedName name="Vth">Variable_Management!$B$250</definedName>
    <definedName name="Vuvlo_off">Variable_Management!$B$167</definedName>
    <definedName name="Vuvlo_on">Variable_Management!$B$166</definedName>
    <definedName name="wp_hf">Loop_Modeling!$B$50</definedName>
    <definedName name="wp_lf">Loop_Modeling!$B$36</definedName>
    <definedName name="wp_lf_VINmin">Variable_Management!$B$191</definedName>
    <definedName name="wp0_ea">Loop_Modeling!$B$63</definedName>
    <definedName name="wp1_ea">Loop_Modeling!$B$64</definedName>
    <definedName name="wsl">Loop_Modeling!$B$48</definedName>
    <definedName name="wsl_VINmin">Variable_Management!$B$205</definedName>
    <definedName name="wz_ea">Loop_Modeling!$B$62</definedName>
    <definedName name="wz_esr">Loop_Modeling!$B$42</definedName>
    <definedName name="wz_esr_VINmin">Variable_Management!$B$194</definedName>
    <definedName name="wz_rhp">Loop_Modeling!$B$39</definedName>
    <definedName name="wz_RHP_VINmin">Variable_Management!$B$197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 i="7" l="1"/>
  <c r="B36" i="2" l="1"/>
  <c r="M126" i="2"/>
  <c r="B2" i="6"/>
  <c r="B48" i="3"/>
  <c r="B251" i="2"/>
  <c r="B250" i="2"/>
  <c r="B249" i="2"/>
  <c r="B247" i="2"/>
  <c r="B246" i="2"/>
  <c r="B245" i="2"/>
  <c r="B244" i="2"/>
  <c r="B243" i="2"/>
  <c r="B239" i="2"/>
  <c r="B238" i="2"/>
  <c r="B172" i="2"/>
  <c r="B42" i="3"/>
  <c r="B170" i="2" s="1"/>
  <c r="B169" i="2"/>
  <c r="B168" i="2"/>
  <c r="B167" i="2"/>
  <c r="B166" i="2"/>
  <c r="B162" i="2"/>
  <c r="B37" i="3"/>
  <c r="B160" i="2"/>
  <c r="B213" i="2"/>
  <c r="O8" i="5" s="1"/>
  <c r="B34" i="3"/>
  <c r="O548" i="5"/>
  <c r="O549" i="5"/>
  <c r="O550" i="5"/>
  <c r="O551" i="5"/>
  <c r="O552" i="5"/>
  <c r="O553" i="5"/>
  <c r="O554" i="5"/>
  <c r="O555" i="5"/>
  <c r="O556" i="5"/>
  <c r="O557" i="5"/>
  <c r="O558" i="5"/>
  <c r="O559" i="5"/>
  <c r="O560" i="5"/>
  <c r="O537" i="5"/>
  <c r="O538" i="5"/>
  <c r="O539" i="5"/>
  <c r="O540" i="5"/>
  <c r="O541" i="5"/>
  <c r="O542" i="5"/>
  <c r="O543" i="5"/>
  <c r="O544" i="5"/>
  <c r="O545" i="5"/>
  <c r="O546" i="5"/>
  <c r="O547" i="5"/>
  <c r="O520" i="5"/>
  <c r="O521" i="5"/>
  <c r="O522" i="5"/>
  <c r="O523" i="5"/>
  <c r="O524" i="5"/>
  <c r="O525" i="5"/>
  <c r="O526" i="5"/>
  <c r="O527" i="5"/>
  <c r="O528" i="5"/>
  <c r="O529" i="5"/>
  <c r="O530" i="5"/>
  <c r="O531" i="5"/>
  <c r="O532" i="5"/>
  <c r="O533" i="5"/>
  <c r="O534" i="5"/>
  <c r="O535" i="5"/>
  <c r="O536" i="5"/>
  <c r="O5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4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3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2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1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9" i="5"/>
  <c r="B29" i="3"/>
  <c r="B31" i="5" s="1"/>
  <c r="B182" i="2"/>
  <c r="B55" i="5" s="1"/>
  <c r="B184" i="2"/>
  <c r="B56" i="5" s="1"/>
  <c r="B230" i="2"/>
  <c r="B232" i="2"/>
  <c r="B59" i="5" s="1"/>
  <c r="B228" i="2"/>
  <c r="B28" i="5"/>
  <c r="B156" i="2"/>
  <c r="B155" i="2"/>
  <c r="B152" i="2"/>
  <c r="B144" i="2"/>
  <c r="B139" i="2"/>
  <c r="B27" i="5" s="1"/>
  <c r="B138" i="2"/>
  <c r="B26" i="5" s="1"/>
  <c r="B27" i="3"/>
  <c r="B25" i="3"/>
  <c r="B122" i="2"/>
  <c r="B85" i="2"/>
  <c r="B84" i="2"/>
  <c r="B22" i="3"/>
  <c r="B71" i="2"/>
  <c r="B10" i="2"/>
  <c r="AP87" i="4" s="1"/>
  <c r="B14" i="3"/>
  <c r="B12" i="3"/>
  <c r="B10" i="3"/>
  <c r="B17" i="2"/>
  <c r="B14" i="2"/>
  <c r="H85" i="1" s="1"/>
  <c r="B13" i="2"/>
  <c r="B9" i="2"/>
  <c r="B5" i="8" s="1"/>
  <c r="B8" i="2"/>
  <c r="T121" i="4" s="1"/>
  <c r="B7" i="2"/>
  <c r="B21" i="5" l="1"/>
  <c r="B10" i="5"/>
  <c r="B89" i="2"/>
  <c r="B194" i="2"/>
  <c r="B195" i="2" s="1"/>
  <c r="B63" i="5"/>
  <c r="AG532" i="5" s="1"/>
  <c r="T130" i="4"/>
  <c r="AQ130" i="4" s="1"/>
  <c r="T118" i="4"/>
  <c r="AQ118" i="4" s="1"/>
  <c r="T29" i="4"/>
  <c r="AQ29" i="4" s="1"/>
  <c r="T31" i="4"/>
  <c r="AQ31" i="4" s="1"/>
  <c r="T63" i="4"/>
  <c r="T138" i="4"/>
  <c r="AQ138" i="4" s="1"/>
  <c r="T126" i="4"/>
  <c r="AQ126" i="4" s="1"/>
  <c r="T49" i="4"/>
  <c r="AQ49" i="4" s="1"/>
  <c r="T19" i="4"/>
  <c r="AQ19" i="4" s="1"/>
  <c r="T74" i="4"/>
  <c r="AQ74" i="4" s="1"/>
  <c r="T54" i="4"/>
  <c r="AQ54" i="4" s="1"/>
  <c r="T28" i="4"/>
  <c r="AQ28" i="4" s="1"/>
  <c r="T132" i="4"/>
  <c r="AQ132" i="4" s="1"/>
  <c r="T13" i="4"/>
  <c r="AQ13" i="4" s="1"/>
  <c r="T144" i="4"/>
  <c r="AQ144" i="4" s="1"/>
  <c r="T124" i="4"/>
  <c r="AQ124" i="4" s="1"/>
  <c r="T151" i="4"/>
  <c r="AQ151" i="4" s="1"/>
  <c r="T88" i="4"/>
  <c r="AQ88" i="4" s="1"/>
  <c r="T76" i="4"/>
  <c r="AQ76" i="4" s="1"/>
  <c r="R84" i="4"/>
  <c r="B36" i="5"/>
  <c r="Q96" i="5" s="1"/>
  <c r="T33" i="4"/>
  <c r="AQ33" i="4" s="1"/>
  <c r="B35" i="5"/>
  <c r="T79" i="4"/>
  <c r="AQ79" i="4" s="1"/>
  <c r="B58" i="5"/>
  <c r="R62" i="4"/>
  <c r="B15" i="2"/>
  <c r="R143" i="4"/>
  <c r="B16" i="2"/>
  <c r="H15" i="1" s="1"/>
  <c r="B20" i="5"/>
  <c r="R79" i="4"/>
  <c r="R105" i="4"/>
  <c r="R34" i="4"/>
  <c r="B45" i="5"/>
  <c r="B11" i="2"/>
  <c r="H13" i="1" s="1"/>
  <c r="B19" i="3"/>
  <c r="B20" i="3" s="1"/>
  <c r="B21" i="2" s="1"/>
  <c r="H16" i="1" s="1"/>
  <c r="B13" i="5"/>
  <c r="AP56" i="4"/>
  <c r="K21" i="2"/>
  <c r="AP30" i="4"/>
  <c r="AP116" i="4"/>
  <c r="AP115" i="4"/>
  <c r="AP66" i="4"/>
  <c r="AP49" i="4"/>
  <c r="O12" i="4"/>
  <c r="T30" i="4"/>
  <c r="AQ30" i="4" s="1"/>
  <c r="T152" i="4"/>
  <c r="AQ152" i="4" s="1"/>
  <c r="T82" i="4"/>
  <c r="AQ82" i="4" s="1"/>
  <c r="T27" i="4"/>
  <c r="AQ27" i="4" s="1"/>
  <c r="T137" i="4"/>
  <c r="AQ137" i="4" s="1"/>
  <c r="T105" i="4"/>
  <c r="T80" i="4"/>
  <c r="T24" i="4"/>
  <c r="AQ24" i="4" s="1"/>
  <c r="T62" i="4"/>
  <c r="AQ62" i="4" s="1"/>
  <c r="T93" i="4"/>
  <c r="AQ93" i="4" s="1"/>
  <c r="R141" i="4"/>
  <c r="R133" i="4"/>
  <c r="R98" i="4"/>
  <c r="R155" i="4"/>
  <c r="R76" i="4"/>
  <c r="T136" i="4"/>
  <c r="AQ136" i="4" s="1"/>
  <c r="T21" i="4"/>
  <c r="AQ21" i="4" s="1"/>
  <c r="T110" i="4"/>
  <c r="AQ110" i="4" s="1"/>
  <c r="T133" i="4"/>
  <c r="AQ133" i="4" s="1"/>
  <c r="T59" i="4"/>
  <c r="AQ59" i="4" s="1"/>
  <c r="B39" i="5"/>
  <c r="W161" i="5" s="1"/>
  <c r="Y161" i="5" s="1"/>
  <c r="T128" i="4"/>
  <c r="AQ128" i="4" s="1"/>
  <c r="T64" i="4"/>
  <c r="AQ64" i="4" s="1"/>
  <c r="T15" i="4"/>
  <c r="AQ15" i="4" s="1"/>
  <c r="T122" i="4"/>
  <c r="AQ122" i="4" s="1"/>
  <c r="T58" i="4"/>
  <c r="AQ58" i="4" s="1"/>
  <c r="T108" i="4"/>
  <c r="AQ108" i="4" s="1"/>
  <c r="T60" i="4"/>
  <c r="AQ60" i="4" s="1"/>
  <c r="T16" i="4"/>
  <c r="AQ16" i="4" s="1"/>
  <c r="T102" i="4"/>
  <c r="AQ102" i="4" s="1"/>
  <c r="T40" i="4"/>
  <c r="AQ40" i="4" s="1"/>
  <c r="T9" i="4"/>
  <c r="AQ9" i="4" s="1"/>
  <c r="T147" i="4"/>
  <c r="AQ147" i="4" s="1"/>
  <c r="T131" i="4"/>
  <c r="AQ131" i="4" s="1"/>
  <c r="T115" i="4"/>
  <c r="AQ115" i="4" s="1"/>
  <c r="T101" i="4"/>
  <c r="AQ101" i="4" s="1"/>
  <c r="T87" i="4"/>
  <c r="AQ87" i="4" s="1"/>
  <c r="T73" i="4"/>
  <c r="T57" i="4"/>
  <c r="AQ57" i="4" s="1"/>
  <c r="T43" i="4"/>
  <c r="AQ43" i="4" s="1"/>
  <c r="T103" i="4"/>
  <c r="AQ103" i="4" s="1"/>
  <c r="T77" i="4"/>
  <c r="AQ77" i="4" s="1"/>
  <c r="T25" i="4"/>
  <c r="AQ25" i="4" s="1"/>
  <c r="T72" i="4"/>
  <c r="AQ72" i="4" s="1"/>
  <c r="T66" i="4"/>
  <c r="AQ66" i="4" s="1"/>
  <c r="T20" i="4"/>
  <c r="AQ20" i="4" s="1"/>
  <c r="T149" i="4"/>
  <c r="AQ149" i="4" s="1"/>
  <c r="T75" i="4"/>
  <c r="AQ75" i="4" s="1"/>
  <c r="T120" i="4"/>
  <c r="AQ120" i="4" s="1"/>
  <c r="T56" i="4"/>
  <c r="AQ56" i="4" s="1"/>
  <c r="T12" i="4"/>
  <c r="AQ12" i="4" s="1"/>
  <c r="T114" i="4"/>
  <c r="AQ114" i="4" s="1"/>
  <c r="T50" i="4"/>
  <c r="AQ50" i="4" s="1"/>
  <c r="T14" i="4"/>
  <c r="AQ14" i="4" s="1"/>
  <c r="T52" i="4"/>
  <c r="AQ52" i="4" s="1"/>
  <c r="T8" i="4"/>
  <c r="AQ8" i="4" s="1"/>
  <c r="T94" i="4"/>
  <c r="AQ94" i="4" s="1"/>
  <c r="T37" i="4"/>
  <c r="AQ37" i="4" s="1"/>
  <c r="T145" i="4"/>
  <c r="AQ145" i="4" s="1"/>
  <c r="T129" i="4"/>
  <c r="AQ129" i="4" s="1"/>
  <c r="T113" i="4"/>
  <c r="AQ113" i="4" s="1"/>
  <c r="T99" i="4"/>
  <c r="AQ99" i="4" s="1"/>
  <c r="T71" i="4"/>
  <c r="AQ71" i="4" s="1"/>
  <c r="T55" i="4"/>
  <c r="AQ55" i="4" s="1"/>
  <c r="T41" i="4"/>
  <c r="AQ41" i="4" s="1"/>
  <c r="T17" i="4"/>
  <c r="AQ17" i="4" s="1"/>
  <c r="T89" i="4"/>
  <c r="AQ89" i="4" s="1"/>
  <c r="O9" i="4"/>
  <c r="T112" i="4"/>
  <c r="AQ112" i="4" s="1"/>
  <c r="T48" i="4"/>
  <c r="AQ48" i="4" s="1"/>
  <c r="T106" i="4"/>
  <c r="AQ106" i="4" s="1"/>
  <c r="T42" i="4"/>
  <c r="AQ42" i="4" s="1"/>
  <c r="T156" i="4"/>
  <c r="AQ156" i="4" s="1"/>
  <c r="T100" i="4"/>
  <c r="AQ100" i="4" s="1"/>
  <c r="T44" i="4"/>
  <c r="AQ44" i="4" s="1"/>
  <c r="T150" i="4"/>
  <c r="AQ150" i="4" s="1"/>
  <c r="T86" i="4"/>
  <c r="AQ86" i="4" s="1"/>
  <c r="T26" i="4"/>
  <c r="AQ26" i="4" s="1"/>
  <c r="T157" i="4"/>
  <c r="AQ157" i="4" s="1"/>
  <c r="T143" i="4"/>
  <c r="AQ143" i="4" s="1"/>
  <c r="T127" i="4"/>
  <c r="AQ127" i="4" s="1"/>
  <c r="T111" i="4"/>
  <c r="AQ111" i="4" s="1"/>
  <c r="T97" i="4"/>
  <c r="AQ97" i="4" s="1"/>
  <c r="T85" i="4"/>
  <c r="AQ85" i="4" s="1"/>
  <c r="T69" i="4"/>
  <c r="AQ69" i="4" s="1"/>
  <c r="T38" i="4"/>
  <c r="AQ38" i="4" s="1"/>
  <c r="T135" i="4"/>
  <c r="AQ135" i="4" s="1"/>
  <c r="T91" i="4"/>
  <c r="AQ91" i="4" s="1"/>
  <c r="T47" i="4"/>
  <c r="AQ47" i="4" s="1"/>
  <c r="B46" i="5"/>
  <c r="T68" i="4"/>
  <c r="AQ68" i="4" s="1"/>
  <c r="T11" i="4"/>
  <c r="AQ11" i="4" s="1"/>
  <c r="T45" i="4"/>
  <c r="AQ45" i="4" s="1"/>
  <c r="T7" i="4"/>
  <c r="AQ7" i="4" s="1"/>
  <c r="T10" i="4"/>
  <c r="AQ10" i="4" s="1"/>
  <c r="T104" i="4"/>
  <c r="AQ104" i="4" s="1"/>
  <c r="T36" i="4"/>
  <c r="AQ36" i="4" s="1"/>
  <c r="T154" i="4"/>
  <c r="AQ154" i="4" s="1"/>
  <c r="T98" i="4"/>
  <c r="AQ98" i="4" s="1"/>
  <c r="T39" i="4"/>
  <c r="AQ39" i="4" s="1"/>
  <c r="T148" i="4"/>
  <c r="AQ148" i="4" s="1"/>
  <c r="T92" i="4"/>
  <c r="AQ92" i="4" s="1"/>
  <c r="T142" i="4"/>
  <c r="AQ142" i="4" s="1"/>
  <c r="T78" i="4"/>
  <c r="AQ78" i="4" s="1"/>
  <c r="T23" i="4"/>
  <c r="AQ23" i="4" s="1"/>
  <c r="T155" i="4"/>
  <c r="AQ155" i="4" s="1"/>
  <c r="T141" i="4"/>
  <c r="T125" i="4"/>
  <c r="AQ125" i="4" s="1"/>
  <c r="T109" i="4"/>
  <c r="AQ109" i="4" s="1"/>
  <c r="T95" i="4"/>
  <c r="AQ95" i="4" s="1"/>
  <c r="T83" i="4"/>
  <c r="AQ83" i="4" s="1"/>
  <c r="T67" i="4"/>
  <c r="AQ67" i="4" s="1"/>
  <c r="T53" i="4"/>
  <c r="AQ53" i="4" s="1"/>
  <c r="B11" i="5"/>
  <c r="T119" i="4"/>
  <c r="AQ119" i="4" s="1"/>
  <c r="T61" i="4"/>
  <c r="AQ61" i="4" s="1"/>
  <c r="T18" i="4"/>
  <c r="AQ18" i="4" s="1"/>
  <c r="T116" i="4"/>
  <c r="AQ116" i="4" s="1"/>
  <c r="T46" i="4"/>
  <c r="AQ46" i="4" s="1"/>
  <c r="T117" i="4"/>
  <c r="AQ117" i="4" s="1"/>
  <c r="T22" i="4"/>
  <c r="AQ22" i="4" s="1"/>
  <c r="B17" i="5"/>
  <c r="P15" i="5" s="1"/>
  <c r="T96" i="4"/>
  <c r="AQ96" i="4" s="1"/>
  <c r="T32" i="4"/>
  <c r="AQ32" i="4" s="1"/>
  <c r="T146" i="4"/>
  <c r="AQ146" i="4" s="1"/>
  <c r="T90" i="4"/>
  <c r="AQ90" i="4" s="1"/>
  <c r="T35" i="4"/>
  <c r="AQ35" i="4" s="1"/>
  <c r="T140" i="4"/>
  <c r="AQ140" i="4" s="1"/>
  <c r="T84" i="4"/>
  <c r="AQ84" i="4" s="1"/>
  <c r="T34" i="4"/>
  <c r="AQ34" i="4" s="1"/>
  <c r="T134" i="4"/>
  <c r="T70" i="4"/>
  <c r="AQ70" i="4" s="1"/>
  <c r="T153" i="4"/>
  <c r="AQ153" i="4" s="1"/>
  <c r="T139" i="4"/>
  <c r="AQ139" i="4" s="1"/>
  <c r="T123" i="4"/>
  <c r="AQ123" i="4" s="1"/>
  <c r="T107" i="4"/>
  <c r="AQ107" i="4" s="1"/>
  <c r="T81" i="4"/>
  <c r="AQ81" i="4" s="1"/>
  <c r="T65" i="4"/>
  <c r="AQ65" i="4" s="1"/>
  <c r="T51" i="4"/>
  <c r="AQ51" i="4" s="1"/>
  <c r="L126" i="2"/>
  <c r="K38" i="5"/>
  <c r="B24" i="5"/>
  <c r="AG208" i="5"/>
  <c r="AG200" i="5"/>
  <c r="AI200" i="5" s="1"/>
  <c r="AG168" i="5"/>
  <c r="AH168" i="5" s="1"/>
  <c r="AG152" i="5"/>
  <c r="AH152" i="5" s="1"/>
  <c r="AG248" i="5"/>
  <c r="AH248" i="5" s="1"/>
  <c r="AG224" i="5"/>
  <c r="AH224" i="5" s="1"/>
  <c r="AG416" i="5"/>
  <c r="AG408" i="5"/>
  <c r="AG400" i="5"/>
  <c r="AG336" i="5"/>
  <c r="AH336" i="5" s="1"/>
  <c r="AG320" i="5"/>
  <c r="AG504" i="5"/>
  <c r="AG480" i="5"/>
  <c r="AG472" i="5"/>
  <c r="AG456" i="5"/>
  <c r="AG440" i="5"/>
  <c r="AG424" i="5"/>
  <c r="AG534" i="5"/>
  <c r="AG526" i="5"/>
  <c r="AI526" i="5" s="1"/>
  <c r="AG546" i="5"/>
  <c r="AI546" i="5" s="1"/>
  <c r="AG538" i="5"/>
  <c r="AG554" i="5"/>
  <c r="R134" i="4"/>
  <c r="R96" i="4"/>
  <c r="R71" i="4"/>
  <c r="R20" i="4"/>
  <c r="AP109" i="4"/>
  <c r="AP59" i="4"/>
  <c r="AP25" i="4"/>
  <c r="B57" i="5"/>
  <c r="B62" i="5"/>
  <c r="AM272" i="5" s="1"/>
  <c r="R126" i="4"/>
  <c r="R77" i="4"/>
  <c r="R24" i="4"/>
  <c r="R39" i="4"/>
  <c r="AP45" i="4"/>
  <c r="AP104" i="4"/>
  <c r="R91" i="4"/>
  <c r="R69" i="4"/>
  <c r="R148" i="4"/>
  <c r="R21" i="4"/>
  <c r="AP37" i="4"/>
  <c r="AP111" i="4"/>
  <c r="R70" i="4"/>
  <c r="R12" i="4"/>
  <c r="R140" i="4"/>
  <c r="AP128" i="4"/>
  <c r="AP156" i="4"/>
  <c r="B42" i="2"/>
  <c r="B3" i="8"/>
  <c r="AP33" i="4"/>
  <c r="AP58" i="4"/>
  <c r="AP127" i="4"/>
  <c r="AP123" i="4"/>
  <c r="AP148" i="4"/>
  <c r="AP53" i="4"/>
  <c r="AP94" i="4"/>
  <c r="B199" i="2"/>
  <c r="AP81" i="4"/>
  <c r="AP74" i="4"/>
  <c r="AP120" i="4"/>
  <c r="AP20" i="4"/>
  <c r="AP15" i="4"/>
  <c r="AP117" i="4"/>
  <c r="AP142" i="4"/>
  <c r="AP89" i="4"/>
  <c r="AP130" i="4"/>
  <c r="AP11" i="4"/>
  <c r="AP28" i="4"/>
  <c r="AP64" i="4"/>
  <c r="AP133" i="4"/>
  <c r="AP150" i="4"/>
  <c r="AP97" i="4"/>
  <c r="AP138" i="4"/>
  <c r="AP43" i="4"/>
  <c r="AP36" i="4"/>
  <c r="AP88" i="4"/>
  <c r="AP14" i="4"/>
  <c r="AP7" i="4"/>
  <c r="AP153" i="4"/>
  <c r="AP154" i="4"/>
  <c r="AP51" i="4"/>
  <c r="AP92" i="4"/>
  <c r="AP144" i="4"/>
  <c r="AP22" i="4"/>
  <c r="AP32" i="4"/>
  <c r="R10" i="4"/>
  <c r="R135" i="4"/>
  <c r="AP110" i="4"/>
  <c r="AP100" i="4"/>
  <c r="AP26" i="4"/>
  <c r="AP86" i="4"/>
  <c r="AP139" i="4"/>
  <c r="AP10" i="4"/>
  <c r="R19" i="4"/>
  <c r="R30" i="4"/>
  <c r="R100" i="4"/>
  <c r="R14" i="4"/>
  <c r="R95" i="4"/>
  <c r="R9" i="4"/>
  <c r="R93" i="4"/>
  <c r="R157" i="4"/>
  <c r="R86" i="4"/>
  <c r="R150" i="4"/>
  <c r="B191" i="2"/>
  <c r="B192" i="2" s="1"/>
  <c r="B220" i="2" s="1"/>
  <c r="B221" i="2" s="1"/>
  <c r="R23" i="4"/>
  <c r="R44" i="4"/>
  <c r="R108" i="4"/>
  <c r="R38" i="4"/>
  <c r="R103" i="4"/>
  <c r="R18" i="4"/>
  <c r="R101" i="4"/>
  <c r="R22" i="4"/>
  <c r="R94" i="4"/>
  <c r="R8" i="4"/>
  <c r="R27" i="4"/>
  <c r="R52" i="4"/>
  <c r="R116" i="4"/>
  <c r="R47" i="4"/>
  <c r="R111" i="4"/>
  <c r="R45" i="4"/>
  <c r="R109" i="4"/>
  <c r="R40" i="4"/>
  <c r="R102" i="4"/>
  <c r="R35" i="4"/>
  <c r="R68" i="4"/>
  <c r="R132" i="4"/>
  <c r="R63" i="4"/>
  <c r="R127" i="4"/>
  <c r="R61" i="4"/>
  <c r="R125" i="4"/>
  <c r="R54" i="4"/>
  <c r="R118" i="4"/>
  <c r="R7" i="4"/>
  <c r="R37" i="4"/>
  <c r="R73" i="4"/>
  <c r="R137" i="4"/>
  <c r="R66" i="4"/>
  <c r="R130" i="4"/>
  <c r="R64" i="4"/>
  <c r="R128" i="4"/>
  <c r="R59" i="4"/>
  <c r="R123" i="4"/>
  <c r="AG19" i="5"/>
  <c r="AG375" i="5"/>
  <c r="AG503" i="5"/>
  <c r="AH503" i="5" s="1"/>
  <c r="B42" i="5"/>
  <c r="T64" i="5" s="1"/>
  <c r="AG44" i="5"/>
  <c r="AG36" i="5"/>
  <c r="AG28" i="5"/>
  <c r="B183" i="2"/>
  <c r="H61" i="1" s="1"/>
  <c r="AG319" i="5"/>
  <c r="AG403" i="5"/>
  <c r="AI403" i="5" s="1"/>
  <c r="AG347" i="5"/>
  <c r="AI347" i="5" s="1"/>
  <c r="AG507" i="5"/>
  <c r="AH507" i="5" s="1"/>
  <c r="AG483" i="5"/>
  <c r="AI483" i="5" s="1"/>
  <c r="AG459" i="5"/>
  <c r="AI459" i="5" s="1"/>
  <c r="AG443" i="5"/>
  <c r="AI443" i="5" s="1"/>
  <c r="AG519" i="5"/>
  <c r="AI519" i="5" s="1"/>
  <c r="AG529" i="5"/>
  <c r="AI529" i="5" s="1"/>
  <c r="AG549" i="5"/>
  <c r="AI549" i="5" s="1"/>
  <c r="AG409" i="5"/>
  <c r="AI409" i="5" s="1"/>
  <c r="AG377" i="5"/>
  <c r="AI377" i="5" s="1"/>
  <c r="AG361" i="5"/>
  <c r="AG353" i="5"/>
  <c r="AI353" i="5" s="1"/>
  <c r="AG513" i="5"/>
  <c r="AG441" i="5"/>
  <c r="AG425" i="5"/>
  <c r="AG547" i="5"/>
  <c r="B62" i="2"/>
  <c r="B66" i="2"/>
  <c r="Q51" i="1"/>
  <c r="B127" i="2"/>
  <c r="B141" i="2"/>
  <c r="K141" i="2" s="1"/>
  <c r="B254" i="2"/>
  <c r="B256" i="2" s="1"/>
  <c r="B163" i="2"/>
  <c r="H47" i="1" s="1"/>
  <c r="K8" i="2"/>
  <c r="B60" i="2"/>
  <c r="B58" i="2"/>
  <c r="B203" i="2"/>
  <c r="AQ80" i="4"/>
  <c r="H57" i="1"/>
  <c r="B179" i="2" s="1"/>
  <c r="AG8" i="5"/>
  <c r="AG112" i="5"/>
  <c r="AG104" i="5"/>
  <c r="AG96" i="5"/>
  <c r="AG72" i="5"/>
  <c r="AG64" i="5"/>
  <c r="AG56" i="5"/>
  <c r="AG48" i="5"/>
  <c r="AG24" i="5"/>
  <c r="AG216" i="5"/>
  <c r="AG192" i="5"/>
  <c r="AG184" i="5"/>
  <c r="AG176" i="5"/>
  <c r="AG160" i="5"/>
  <c r="AG144" i="5"/>
  <c r="AG128" i="5"/>
  <c r="AG312" i="5"/>
  <c r="AG304" i="5"/>
  <c r="AG296" i="5"/>
  <c r="AG280" i="5"/>
  <c r="AG264" i="5"/>
  <c r="AG256" i="5"/>
  <c r="AG240" i="5"/>
  <c r="AG232" i="5"/>
  <c r="AG392" i="5"/>
  <c r="AG384" i="5"/>
  <c r="AG368" i="5"/>
  <c r="AG360" i="5"/>
  <c r="AG328" i="5"/>
  <c r="AG512" i="5"/>
  <c r="AG496" i="5"/>
  <c r="AG488" i="5"/>
  <c r="AG464" i="5"/>
  <c r="AG448" i="5"/>
  <c r="AG432" i="5"/>
  <c r="O7" i="5"/>
  <c r="B219" i="2"/>
  <c r="AQ121" i="4"/>
  <c r="AQ105" i="4"/>
  <c r="B48" i="2"/>
  <c r="B50" i="2"/>
  <c r="B12" i="5"/>
  <c r="AP41" i="4"/>
  <c r="AP105" i="4"/>
  <c r="AP18" i="4"/>
  <c r="AP82" i="4"/>
  <c r="AP146" i="4"/>
  <c r="AP143" i="4"/>
  <c r="AP136" i="4"/>
  <c r="AP67" i="4"/>
  <c r="AP131" i="4"/>
  <c r="AP44" i="4"/>
  <c r="AP108" i="4"/>
  <c r="AP47" i="4"/>
  <c r="AP112" i="4"/>
  <c r="AP61" i="4"/>
  <c r="AP125" i="4"/>
  <c r="AP38" i="4"/>
  <c r="AP102" i="4"/>
  <c r="AP23" i="4"/>
  <c r="AP96" i="4"/>
  <c r="B48" i="5"/>
  <c r="B205" i="2"/>
  <c r="AP57" i="4"/>
  <c r="AP121" i="4"/>
  <c r="AP34" i="4"/>
  <c r="AP98" i="4"/>
  <c r="AP31" i="4"/>
  <c r="AP24" i="4"/>
  <c r="AP19" i="4"/>
  <c r="AP83" i="4"/>
  <c r="AP147" i="4"/>
  <c r="AP60" i="4"/>
  <c r="AP124" i="4"/>
  <c r="AP103" i="4"/>
  <c r="AP13" i="4"/>
  <c r="AP77" i="4"/>
  <c r="AP141" i="4"/>
  <c r="AP54" i="4"/>
  <c r="AP118" i="4"/>
  <c r="AP63" i="4"/>
  <c r="AP152" i="4"/>
  <c r="O15" i="4"/>
  <c r="K126" i="2"/>
  <c r="M8" i="4"/>
  <c r="AP65" i="4"/>
  <c r="AP129" i="4"/>
  <c r="AP42" i="4"/>
  <c r="AP106" i="4"/>
  <c r="AP55" i="4"/>
  <c r="AP48" i="4"/>
  <c r="AP27" i="4"/>
  <c r="AP91" i="4"/>
  <c r="AP155" i="4"/>
  <c r="AP68" i="4"/>
  <c r="AP132" i="4"/>
  <c r="AP135" i="4"/>
  <c r="AP21" i="4"/>
  <c r="AP85" i="4"/>
  <c r="AP149" i="4"/>
  <c r="AP62" i="4"/>
  <c r="AP126" i="4"/>
  <c r="AP95" i="4"/>
  <c r="J125" i="2"/>
  <c r="AP9" i="4"/>
  <c r="AP73" i="4"/>
  <c r="AP137" i="4"/>
  <c r="AP50" i="4"/>
  <c r="AP114" i="4"/>
  <c r="AP71" i="4"/>
  <c r="AP72" i="4"/>
  <c r="AP35" i="4"/>
  <c r="AP99" i="4"/>
  <c r="AP12" i="4"/>
  <c r="AP76" i="4"/>
  <c r="AP140" i="4"/>
  <c r="AP8" i="4"/>
  <c r="AP29" i="4"/>
  <c r="AP93" i="4"/>
  <c r="AP157" i="4"/>
  <c r="AP70" i="4"/>
  <c r="AP134" i="4"/>
  <c r="AP119" i="4"/>
  <c r="T73" i="5"/>
  <c r="T308" i="5"/>
  <c r="T65" i="5"/>
  <c r="AG103" i="5"/>
  <c r="AG87" i="5"/>
  <c r="AG79" i="5"/>
  <c r="AG55" i="5"/>
  <c r="AG47" i="5"/>
  <c r="T31" i="5"/>
  <c r="AG31" i="5"/>
  <c r="AG23" i="5"/>
  <c r="AG199" i="5"/>
  <c r="AG175" i="5"/>
  <c r="AG159" i="5"/>
  <c r="AG143" i="5"/>
  <c r="AG135" i="5"/>
  <c r="AM135" i="5"/>
  <c r="AG127" i="5"/>
  <c r="AG219" i="5"/>
  <c r="AG287" i="5"/>
  <c r="AG255" i="5"/>
  <c r="AG239" i="5"/>
  <c r="AG223" i="5"/>
  <c r="AG383" i="5"/>
  <c r="AG359" i="5"/>
  <c r="AG351" i="5"/>
  <c r="AG335" i="5"/>
  <c r="AG327" i="5"/>
  <c r="AG419" i="5"/>
  <c r="AG495" i="5"/>
  <c r="AG487" i="5"/>
  <c r="AG463" i="5"/>
  <c r="AG455" i="5"/>
  <c r="AG447" i="5"/>
  <c r="AG439" i="5"/>
  <c r="AG533" i="5"/>
  <c r="AM525" i="5"/>
  <c r="AG525" i="5"/>
  <c r="AG545" i="5"/>
  <c r="AG553" i="5"/>
  <c r="AI168" i="5"/>
  <c r="AP151" i="4"/>
  <c r="AP78" i="4"/>
  <c r="AP101" i="4"/>
  <c r="AP40" i="4"/>
  <c r="AP84" i="4"/>
  <c r="AP107" i="4"/>
  <c r="AP80" i="4"/>
  <c r="AP122" i="4"/>
  <c r="AP145" i="4"/>
  <c r="AP17" i="4"/>
  <c r="B39" i="2"/>
  <c r="H17" i="1" s="1"/>
  <c r="B189" i="2"/>
  <c r="P7" i="5" s="1"/>
  <c r="B197" i="2"/>
  <c r="B198" i="2" s="1"/>
  <c r="R25" i="4"/>
  <c r="R41" i="4"/>
  <c r="R49" i="4"/>
  <c r="R81" i="4"/>
  <c r="R113" i="4"/>
  <c r="R145" i="4"/>
  <c r="R42" i="4"/>
  <c r="R74" i="4"/>
  <c r="R106" i="4"/>
  <c r="R138" i="4"/>
  <c r="R32" i="4"/>
  <c r="R72" i="4"/>
  <c r="R104" i="4"/>
  <c r="R136" i="4"/>
  <c r="R26" i="4"/>
  <c r="R67" i="4"/>
  <c r="R99" i="4"/>
  <c r="R131" i="4"/>
  <c r="R13" i="4"/>
  <c r="B44" i="2"/>
  <c r="R29" i="4"/>
  <c r="R28" i="4"/>
  <c r="R57" i="4"/>
  <c r="R89" i="4"/>
  <c r="R121" i="4"/>
  <c r="R153" i="4"/>
  <c r="R50" i="4"/>
  <c r="R82" i="4"/>
  <c r="R114" i="4"/>
  <c r="R146" i="4"/>
  <c r="R48" i="4"/>
  <c r="R80" i="4"/>
  <c r="R112" i="4"/>
  <c r="R144" i="4"/>
  <c r="R43" i="4"/>
  <c r="R75" i="4"/>
  <c r="R107" i="4"/>
  <c r="R139" i="4"/>
  <c r="B52" i="2"/>
  <c r="R15" i="4"/>
  <c r="R31" i="4"/>
  <c r="R36" i="4"/>
  <c r="R60" i="4"/>
  <c r="R92" i="4"/>
  <c r="R124" i="4"/>
  <c r="R156" i="4"/>
  <c r="R55" i="4"/>
  <c r="R87" i="4"/>
  <c r="R119" i="4"/>
  <c r="R151" i="4"/>
  <c r="R53" i="4"/>
  <c r="R85" i="4"/>
  <c r="R117" i="4"/>
  <c r="R149" i="4"/>
  <c r="R46" i="4"/>
  <c r="R78" i="4"/>
  <c r="R110" i="4"/>
  <c r="R142" i="4"/>
  <c r="B161" i="2"/>
  <c r="H45" i="1" s="1"/>
  <c r="B55" i="2"/>
  <c r="B68" i="2"/>
  <c r="R17" i="4"/>
  <c r="R33" i="4"/>
  <c r="R16" i="4"/>
  <c r="R65" i="4"/>
  <c r="R97" i="4"/>
  <c r="R129" i="4"/>
  <c r="R11" i="4"/>
  <c r="R58" i="4"/>
  <c r="R90" i="4"/>
  <c r="R122" i="4"/>
  <c r="R154" i="4"/>
  <c r="R56" i="4"/>
  <c r="R88" i="4"/>
  <c r="R120" i="4"/>
  <c r="R152" i="4"/>
  <c r="R51" i="4"/>
  <c r="R83" i="4"/>
  <c r="R115" i="4"/>
  <c r="R147" i="4"/>
  <c r="B185" i="2"/>
  <c r="J126" i="2"/>
  <c r="B29" i="5"/>
  <c r="B202" i="2"/>
  <c r="AQ63" i="4"/>
  <c r="AP39" i="4"/>
  <c r="AP46" i="4"/>
  <c r="AP69" i="4"/>
  <c r="AP79" i="4"/>
  <c r="AP52" i="4"/>
  <c r="AP75" i="4"/>
  <c r="AP16" i="4"/>
  <c r="AP90" i="4"/>
  <c r="AP113" i="4"/>
  <c r="AM105" i="5"/>
  <c r="AM530" i="5"/>
  <c r="AM234" i="5"/>
  <c r="AM482" i="5"/>
  <c r="AM258" i="5"/>
  <c r="AM365" i="5"/>
  <c r="AM189" i="5"/>
  <c r="AM370" i="5"/>
  <c r="AM362" i="5"/>
  <c r="AG38" i="5"/>
  <c r="AG42" i="5"/>
  <c r="AG54" i="5"/>
  <c r="AG65" i="5"/>
  <c r="AG66" i="5"/>
  <c r="AG93" i="5"/>
  <c r="AG121" i="5"/>
  <c r="AG89" i="5"/>
  <c r="AG92" i="5"/>
  <c r="AG130" i="5"/>
  <c r="AG110" i="5"/>
  <c r="AG153" i="5"/>
  <c r="AG165" i="5"/>
  <c r="AG133" i="5"/>
  <c r="AG218" i="5"/>
  <c r="AG164" i="5"/>
  <c r="AG229" i="5"/>
  <c r="AG233" i="5"/>
  <c r="AG273" i="5"/>
  <c r="AG301" i="5"/>
  <c r="AG324" i="5"/>
  <c r="AG250" i="5"/>
  <c r="AG286" i="5"/>
  <c r="AG316" i="5"/>
  <c r="AG237" i="5"/>
  <c r="AG281" i="5"/>
  <c r="AG313" i="5"/>
  <c r="AG345" i="5"/>
  <c r="AG284" i="5"/>
  <c r="AG378" i="5"/>
  <c r="AG436" i="5"/>
  <c r="AG321" i="5"/>
  <c r="AG396" i="5"/>
  <c r="AG417" i="5"/>
  <c r="AG346" i="5"/>
  <c r="AG438" i="5"/>
  <c r="AG510" i="5"/>
  <c r="AG370" i="5"/>
  <c r="AG516" i="5"/>
  <c r="AG474" i="5"/>
  <c r="AG548" i="5"/>
  <c r="AG380" i="5"/>
  <c r="AG492" i="5"/>
  <c r="AG542" i="5"/>
  <c r="AG536" i="5"/>
  <c r="AG426" i="5"/>
  <c r="AG523" i="5"/>
  <c r="AG449" i="5"/>
  <c r="AG544" i="5"/>
  <c r="AG45" i="5"/>
  <c r="AG26" i="5"/>
  <c r="AG94" i="5"/>
  <c r="AG101" i="5"/>
  <c r="AG134" i="5"/>
  <c r="AG158" i="5"/>
  <c r="AG140" i="5"/>
  <c r="AG212" i="5"/>
  <c r="AG252" i="5"/>
  <c r="AG274" i="5"/>
  <c r="AG306" i="5"/>
  <c r="AG332" i="5"/>
  <c r="AG258" i="5"/>
  <c r="AG244" i="5"/>
  <c r="AG285" i="5"/>
  <c r="AG318" i="5"/>
  <c r="AG348" i="5"/>
  <c r="AG290" i="5"/>
  <c r="AG382" i="5"/>
  <c r="AG406" i="5"/>
  <c r="AG437" i="5"/>
  <c r="AG326" i="5"/>
  <c r="AG372" i="5"/>
  <c r="AG405" i="5"/>
  <c r="AG418" i="5"/>
  <c r="AG350" i="5"/>
  <c r="AG485" i="5"/>
  <c r="AG517" i="5"/>
  <c r="AG452" i="5"/>
  <c r="AG477" i="5"/>
  <c r="AG506" i="5"/>
  <c r="AG540" i="5"/>
  <c r="AG428" i="5"/>
  <c r="AG470" i="5"/>
  <c r="AG21" i="5"/>
  <c r="AG20" i="5"/>
  <c r="AG22" i="5"/>
  <c r="AG77" i="5"/>
  <c r="AG126" i="5"/>
  <c r="AG109" i="5"/>
  <c r="AG138" i="5"/>
  <c r="AG173" i="5"/>
  <c r="AG181" i="5"/>
  <c r="AG157" i="5"/>
  <c r="AG189" i="5"/>
  <c r="AG154" i="5"/>
  <c r="AG234" i="5"/>
  <c r="AG238" i="5"/>
  <c r="AG205" i="5"/>
  <c r="AG270" i="5"/>
  <c r="AG354" i="5"/>
  <c r="AG330" i="5"/>
  <c r="AG394" i="5"/>
  <c r="AG420" i="5"/>
  <c r="AG226" i="5"/>
  <c r="AG333" i="5"/>
  <c r="AG381" i="5"/>
  <c r="AG390" i="5"/>
  <c r="AG450" i="5"/>
  <c r="AG493" i="5"/>
  <c r="AG522" i="5"/>
  <c r="AG422" i="5"/>
  <c r="AG458" i="5"/>
  <c r="AG302" i="5"/>
  <c r="AG524" i="5"/>
  <c r="AG551" i="5"/>
  <c r="AG520" i="5"/>
  <c r="AG365" i="5"/>
  <c r="AG556" i="5"/>
  <c r="AG29" i="5"/>
  <c r="AG34" i="5"/>
  <c r="AG69" i="5"/>
  <c r="AG78" i="5"/>
  <c r="AG141" i="5"/>
  <c r="AG142" i="5"/>
  <c r="AG118" i="5"/>
  <c r="AG182" i="5"/>
  <c r="AG190" i="5"/>
  <c r="AG221" i="5"/>
  <c r="AG314" i="5"/>
  <c r="AG210" i="5"/>
  <c r="AG276" i="5"/>
  <c r="AG261" i="5"/>
  <c r="AG356" i="5"/>
  <c r="AG341" i="5"/>
  <c r="AG397" i="5"/>
  <c r="AG421" i="5"/>
  <c r="AG262" i="5"/>
  <c r="AG340" i="5"/>
  <c r="AG386" i="5"/>
  <c r="AG410" i="5"/>
  <c r="AG402" i="5"/>
  <c r="AG412" i="5"/>
  <c r="AG494" i="5"/>
  <c r="AG530" i="5"/>
  <c r="AG460" i="5"/>
  <c r="AG486" i="5"/>
  <c r="AG528" i="5"/>
  <c r="AG444" i="5"/>
  <c r="AG454" i="5"/>
  <c r="AG558" i="5"/>
  <c r="AG30" i="5"/>
  <c r="AG37" i="5"/>
  <c r="AG58" i="5"/>
  <c r="AG70" i="5"/>
  <c r="AG82" i="5"/>
  <c r="AG148" i="5"/>
  <c r="AG146" i="5"/>
  <c r="AG178" i="5"/>
  <c r="AG149" i="5"/>
  <c r="AG162" i="5"/>
  <c r="AG194" i="5"/>
  <c r="AG245" i="5"/>
  <c r="AG166" i="5"/>
  <c r="AG222" i="5"/>
  <c r="AG214" i="5"/>
  <c r="AG260" i="5"/>
  <c r="AG278" i="5"/>
  <c r="AG117" i="5"/>
  <c r="AG300" i="5"/>
  <c r="AG338" i="5"/>
  <c r="AG364" i="5"/>
  <c r="AG398" i="5"/>
  <c r="AG202" i="5"/>
  <c r="AG404" i="5"/>
  <c r="AG466" i="5"/>
  <c r="AG294" i="5"/>
  <c r="AG434" i="5"/>
  <c r="AG462" i="5"/>
  <c r="AG498" i="5"/>
  <c r="AG531" i="5"/>
  <c r="AG476" i="5"/>
  <c r="AG552" i="5"/>
  <c r="AG389" i="5"/>
  <c r="AG461" i="5"/>
  <c r="AG560" i="5"/>
  <c r="B4" i="8"/>
  <c r="B64" i="2"/>
  <c r="B46" i="2"/>
  <c r="B61" i="5"/>
  <c r="B171" i="2"/>
  <c r="H52" i="1" s="1"/>
  <c r="B173" i="2"/>
  <c r="AG527" i="5"/>
  <c r="AG535" i="5"/>
  <c r="AG557" i="5"/>
  <c r="AG363" i="5"/>
  <c r="AG497" i="5"/>
  <c r="AG499" i="5"/>
  <c r="AG305" i="5"/>
  <c r="AG387" i="5"/>
  <c r="AG355" i="5"/>
  <c r="AG267" i="5"/>
  <c r="AG119" i="5"/>
  <c r="AG113" i="5"/>
  <c r="AG97" i="5"/>
  <c r="AG81" i="5"/>
  <c r="T75" i="5"/>
  <c r="AG521" i="5"/>
  <c r="AG473" i="5"/>
  <c r="AG337" i="5"/>
  <c r="AG451" i="5"/>
  <c r="AG299" i="5"/>
  <c r="AG283" i="5"/>
  <c r="AG257" i="5"/>
  <c r="AG211" i="5"/>
  <c r="AG131" i="5"/>
  <c r="AG25" i="5"/>
  <c r="AM235" i="5"/>
  <c r="B64" i="5"/>
  <c r="AJ64" i="5" s="1"/>
  <c r="AG457" i="5"/>
  <c r="AG491" i="5"/>
  <c r="AG379" i="5"/>
  <c r="AG291" i="5"/>
  <c r="AG259" i="5"/>
  <c r="AG217" i="5"/>
  <c r="AG129" i="5"/>
  <c r="AG51" i="5"/>
  <c r="AM519" i="5"/>
  <c r="T51" i="5"/>
  <c r="AG99" i="5"/>
  <c r="AG91" i="5"/>
  <c r="B33" i="2" l="1"/>
  <c r="B31" i="2"/>
  <c r="AG136" i="5"/>
  <c r="AG88" i="5"/>
  <c r="AH88" i="5" s="1"/>
  <c r="AG344" i="5"/>
  <c r="AG272" i="5"/>
  <c r="AI272" i="5" s="1"/>
  <c r="AG32" i="5"/>
  <c r="AI32" i="5" s="1"/>
  <c r="AG352" i="5"/>
  <c r="AG288" i="5"/>
  <c r="AG40" i="5"/>
  <c r="AG376" i="5"/>
  <c r="AG120" i="5"/>
  <c r="AG80" i="5"/>
  <c r="AG177" i="5"/>
  <c r="AI177" i="5" s="1"/>
  <c r="AG490" i="5"/>
  <c r="AG509" i="5"/>
  <c r="AG169" i="5"/>
  <c r="AH169" i="5" s="1"/>
  <c r="AG505" i="5"/>
  <c r="AI505" i="5" s="1"/>
  <c r="AG59" i="5"/>
  <c r="AG395" i="5"/>
  <c r="AG98" i="5"/>
  <c r="AG323" i="5"/>
  <c r="AI323" i="5" s="1"/>
  <c r="AG478" i="5"/>
  <c r="AG102" i="5"/>
  <c r="AG297" i="5"/>
  <c r="AI297" i="5" s="1"/>
  <c r="AG502" i="5"/>
  <c r="AH502" i="5" s="1"/>
  <c r="AG501" i="5"/>
  <c r="AG467" i="5"/>
  <c r="AG33" i="5"/>
  <c r="AG179" i="5"/>
  <c r="AG155" i="5"/>
  <c r="AG145" i="5"/>
  <c r="AG71" i="5"/>
  <c r="AI71" i="5" s="1"/>
  <c r="AG374" i="5"/>
  <c r="AI374" i="5" s="1"/>
  <c r="AG220" i="5"/>
  <c r="AG123" i="5"/>
  <c r="AG515" i="5"/>
  <c r="AG334" i="5"/>
  <c r="AG249" i="5"/>
  <c r="AH249" i="5" s="1"/>
  <c r="AG514" i="5"/>
  <c r="AG105" i="5"/>
  <c r="AG303" i="5"/>
  <c r="AI303" i="5" s="1"/>
  <c r="AG63" i="5"/>
  <c r="AG366" i="5"/>
  <c r="AG107" i="5"/>
  <c r="AG343" i="5"/>
  <c r="AG122" i="5"/>
  <c r="AI122" i="5" s="1"/>
  <c r="AG411" i="5"/>
  <c r="AI411" i="5" s="1"/>
  <c r="AG481" i="5"/>
  <c r="AG172" i="5"/>
  <c r="AH172" i="5" s="1"/>
  <c r="AG185" i="5"/>
  <c r="AG228" i="5"/>
  <c r="AG482" i="5"/>
  <c r="AG322" i="5"/>
  <c r="AG27" i="5"/>
  <c r="AG171" i="5"/>
  <c r="AG385" i="5"/>
  <c r="AI385" i="5" s="1"/>
  <c r="AG193" i="5"/>
  <c r="AI193" i="5" s="1"/>
  <c r="AG309" i="5"/>
  <c r="AG308" i="5"/>
  <c r="AG35" i="5"/>
  <c r="AH35" i="5" s="1"/>
  <c r="AG111" i="5"/>
  <c r="AI111" i="5" s="1"/>
  <c r="AG453" i="5"/>
  <c r="AH453" i="5" s="1"/>
  <c r="AG57" i="5"/>
  <c r="AG292" i="5"/>
  <c r="AI292" i="5" s="1"/>
  <c r="AG49" i="5"/>
  <c r="AH49" i="5" s="1"/>
  <c r="AG307" i="5"/>
  <c r="AH307" i="5" s="1"/>
  <c r="AG73" i="5"/>
  <c r="AG196" i="5"/>
  <c r="AH196" i="5" s="1"/>
  <c r="AG62" i="5"/>
  <c r="AG508" i="5"/>
  <c r="AH508" i="5" s="1"/>
  <c r="AG195" i="5"/>
  <c r="AH195" i="5" s="1"/>
  <c r="AG311" i="5"/>
  <c r="AI311" i="5" s="1"/>
  <c r="AG156" i="5"/>
  <c r="AI156" i="5" s="1"/>
  <c r="AG465" i="5"/>
  <c r="AG367" i="5"/>
  <c r="AG391" i="5"/>
  <c r="AG201" i="5"/>
  <c r="AG84" i="5"/>
  <c r="AG310" i="5"/>
  <c r="AG358" i="5"/>
  <c r="AI358" i="5" s="1"/>
  <c r="AG163" i="5"/>
  <c r="AG268" i="5"/>
  <c r="AG235" i="5"/>
  <c r="AG124" i="5"/>
  <c r="AG539" i="5"/>
  <c r="AG401" i="5"/>
  <c r="AH401" i="5" s="1"/>
  <c r="AG227" i="5"/>
  <c r="AG183" i="5"/>
  <c r="AG209" i="5"/>
  <c r="AI209" i="5" s="1"/>
  <c r="AG161" i="5"/>
  <c r="AH161" i="5" s="1"/>
  <c r="AG180" i="5"/>
  <c r="AH180" i="5" s="1"/>
  <c r="AG500" i="5"/>
  <c r="AI500" i="5" s="1"/>
  <c r="AG197" i="5"/>
  <c r="AG317" i="5"/>
  <c r="AI317" i="5" s="1"/>
  <c r="AG243" i="5"/>
  <c r="AI243" i="5" s="1"/>
  <c r="AG147" i="5"/>
  <c r="AI147" i="5" s="1"/>
  <c r="AG413" i="5"/>
  <c r="AH413" i="5" s="1"/>
  <c r="AG362" i="5"/>
  <c r="AG225" i="5"/>
  <c r="AI225" i="5" s="1"/>
  <c r="AG167" i="5"/>
  <c r="AG289" i="5"/>
  <c r="AG41" i="5"/>
  <c r="AH41" i="5" s="1"/>
  <c r="AG186" i="5"/>
  <c r="AG407" i="5"/>
  <c r="AI407" i="5" s="1"/>
  <c r="AG242" i="5"/>
  <c r="AH242" i="5" s="1"/>
  <c r="AG371" i="5"/>
  <c r="AG187" i="5"/>
  <c r="AH187" i="5" s="1"/>
  <c r="AG203" i="5"/>
  <c r="AH203" i="5" s="1"/>
  <c r="AG108" i="5"/>
  <c r="AG550" i="5"/>
  <c r="AH550" i="5" s="1"/>
  <c r="AG415" i="5"/>
  <c r="AG429" i="5"/>
  <c r="AH429" i="5" s="1"/>
  <c r="AG139" i="5"/>
  <c r="AH139" i="5" s="1"/>
  <c r="AG50" i="5"/>
  <c r="AG254" i="5"/>
  <c r="AG518" i="5"/>
  <c r="AG76" i="5"/>
  <c r="AI76" i="5" s="1"/>
  <c r="AG246" i="5"/>
  <c r="AI246" i="5" s="1"/>
  <c r="AG423" i="5"/>
  <c r="AG106" i="5"/>
  <c r="AG349" i="5"/>
  <c r="AH349" i="5" s="1"/>
  <c r="AG46" i="5"/>
  <c r="AG174" i="5"/>
  <c r="AG39" i="5"/>
  <c r="AH39" i="5" s="1"/>
  <c r="AG393" i="5"/>
  <c r="AI393" i="5" s="1"/>
  <c r="AG68" i="5"/>
  <c r="AH68" i="5" s="1"/>
  <c r="AG206" i="5"/>
  <c r="AH206" i="5" s="1"/>
  <c r="AG74" i="5"/>
  <c r="AG85" i="5"/>
  <c r="AI85" i="5" s="1"/>
  <c r="AG132" i="5"/>
  <c r="AG151" i="5"/>
  <c r="AG251" i="5"/>
  <c r="AG67" i="5"/>
  <c r="AH67" i="5" s="1"/>
  <c r="AG170" i="5"/>
  <c r="AH170" i="5" s="1"/>
  <c r="AG298" i="5"/>
  <c r="AI298" i="5" s="1"/>
  <c r="AG100" i="5"/>
  <c r="AG215" i="5"/>
  <c r="AI215" i="5" s="1"/>
  <c r="AG373" i="5"/>
  <c r="AI373" i="5" s="1"/>
  <c r="AG60" i="5"/>
  <c r="AG277" i="5"/>
  <c r="AI277" i="5" s="1"/>
  <c r="AG559" i="5"/>
  <c r="AG247" i="5"/>
  <c r="AG442" i="5"/>
  <c r="AG207" i="5"/>
  <c r="AG275" i="5"/>
  <c r="AH275" i="5" s="1"/>
  <c r="AG75" i="5"/>
  <c r="AH75" i="5" s="1"/>
  <c r="AG198" i="5"/>
  <c r="AG339" i="5"/>
  <c r="AI339" i="5" s="1"/>
  <c r="AG116" i="5"/>
  <c r="AG213" i="5"/>
  <c r="AH213" i="5" s="1"/>
  <c r="AG445" i="5"/>
  <c r="AG86" i="5"/>
  <c r="AI86" i="5" s="1"/>
  <c r="AG266" i="5"/>
  <c r="AI266" i="5" s="1"/>
  <c r="AG484" i="5"/>
  <c r="AH484" i="5" s="1"/>
  <c r="AG230" i="5"/>
  <c r="AG555" i="5"/>
  <c r="AG236" i="5"/>
  <c r="AI236" i="5" s="1"/>
  <c r="AG315" i="5"/>
  <c r="AI315" i="5" s="1"/>
  <c r="AG83" i="5"/>
  <c r="AG188" i="5"/>
  <c r="AI188" i="5" s="1"/>
  <c r="AG427" i="5"/>
  <c r="AH427" i="5" s="1"/>
  <c r="AG61" i="5"/>
  <c r="AG265" i="5"/>
  <c r="AH265" i="5" s="1"/>
  <c r="AG357" i="5"/>
  <c r="AG114" i="5"/>
  <c r="AG253" i="5"/>
  <c r="AH253" i="5" s="1"/>
  <c r="AG511" i="5"/>
  <c r="AG293" i="5"/>
  <c r="AG537" i="5"/>
  <c r="AH537" i="5" s="1"/>
  <c r="AG433" i="5"/>
  <c r="AJ283" i="5"/>
  <c r="AG414" i="5"/>
  <c r="AG469" i="5"/>
  <c r="AI469" i="5" s="1"/>
  <c r="AG90" i="5"/>
  <c r="AH90" i="5" s="1"/>
  <c r="AG279" i="5"/>
  <c r="AH279" i="5" s="1"/>
  <c r="AG468" i="5"/>
  <c r="AH468" i="5" s="1"/>
  <c r="AG137" i="5"/>
  <c r="AH137" i="5" s="1"/>
  <c r="AG489" i="5"/>
  <c r="AG435" i="5"/>
  <c r="AI435" i="5" s="1"/>
  <c r="AG115" i="5"/>
  <c r="AI115" i="5" s="1"/>
  <c r="AG269" i="5"/>
  <c r="AG204" i="5"/>
  <c r="AH204" i="5" s="1"/>
  <c r="AG125" i="5"/>
  <c r="AH125" i="5" s="1"/>
  <c r="AG475" i="5"/>
  <c r="AJ521" i="5"/>
  <c r="AJ187" i="5"/>
  <c r="AH529" i="5"/>
  <c r="AH272" i="5"/>
  <c r="AG295" i="5"/>
  <c r="AG471" i="5"/>
  <c r="AG282" i="5"/>
  <c r="AG479" i="5"/>
  <c r="AG271" i="5"/>
  <c r="AG446" i="5"/>
  <c r="AI446" i="5" s="1"/>
  <c r="AJ307" i="5"/>
  <c r="AL307" i="5" s="1"/>
  <c r="AI503" i="5"/>
  <c r="AM69" i="5"/>
  <c r="AM476" i="5"/>
  <c r="AM66" i="5"/>
  <c r="AM253" i="5"/>
  <c r="AM251" i="5"/>
  <c r="AO251" i="5" s="1"/>
  <c r="AM459" i="5"/>
  <c r="AM445" i="5"/>
  <c r="AM486" i="5"/>
  <c r="AO486" i="5" s="1"/>
  <c r="AM93" i="5"/>
  <c r="AM449" i="5"/>
  <c r="AM41" i="5"/>
  <c r="AM436" i="5"/>
  <c r="AN436" i="5" s="1"/>
  <c r="AM348" i="5"/>
  <c r="AM395" i="5"/>
  <c r="AM115" i="5"/>
  <c r="AO115" i="5" s="1"/>
  <c r="AM540" i="5"/>
  <c r="AM498" i="5"/>
  <c r="AM508" i="5"/>
  <c r="AM285" i="5"/>
  <c r="AM133" i="5"/>
  <c r="AM332" i="5"/>
  <c r="AN332" i="5" s="1"/>
  <c r="AG231" i="5"/>
  <c r="AH231" i="5" s="1"/>
  <c r="AI224" i="5"/>
  <c r="AM549" i="5"/>
  <c r="AM409" i="5"/>
  <c r="AN409" i="5" s="1"/>
  <c r="AM113" i="5"/>
  <c r="AN113" i="5" s="1"/>
  <c r="AM347" i="5"/>
  <c r="AO347" i="5" s="1"/>
  <c r="AM500" i="5"/>
  <c r="AM485" i="5"/>
  <c r="AM334" i="5"/>
  <c r="AM238" i="5"/>
  <c r="AN238" i="5" s="1"/>
  <c r="AM29" i="5"/>
  <c r="AM426" i="5"/>
  <c r="AM322" i="5"/>
  <c r="AM53" i="5"/>
  <c r="AN53" i="5" s="1"/>
  <c r="AM454" i="5"/>
  <c r="AM286" i="5"/>
  <c r="AM186" i="5"/>
  <c r="AM62" i="5"/>
  <c r="AO62" i="5" s="1"/>
  <c r="AM493" i="5"/>
  <c r="AM222" i="5"/>
  <c r="AM492" i="5"/>
  <c r="AM326" i="5"/>
  <c r="AN326" i="5" s="1"/>
  <c r="AM68" i="5"/>
  <c r="AM487" i="5"/>
  <c r="AM496" i="5"/>
  <c r="AH377" i="5"/>
  <c r="AM263" i="5"/>
  <c r="AN263" i="5" s="1"/>
  <c r="AM554" i="5"/>
  <c r="AM243" i="5"/>
  <c r="AM388" i="5"/>
  <c r="AO388" i="5" s="1"/>
  <c r="AM520" i="5"/>
  <c r="AM346" i="5"/>
  <c r="AM173" i="5"/>
  <c r="AM550" i="5"/>
  <c r="AN550" i="5" s="1"/>
  <c r="AM458" i="5"/>
  <c r="AM298" i="5"/>
  <c r="AM38" i="5"/>
  <c r="AM484" i="5"/>
  <c r="AN484" i="5" s="1"/>
  <c r="AM389" i="5"/>
  <c r="AM204" i="5"/>
  <c r="AM28" i="5"/>
  <c r="AM397" i="5"/>
  <c r="AO397" i="5" s="1"/>
  <c r="AM141" i="5"/>
  <c r="AM394" i="5"/>
  <c r="AM161" i="5"/>
  <c r="AM431" i="5"/>
  <c r="AN431" i="5" s="1"/>
  <c r="AM495" i="5"/>
  <c r="AM359" i="5"/>
  <c r="AM546" i="5"/>
  <c r="AM24" i="5"/>
  <c r="AN24" i="5" s="1"/>
  <c r="AM457" i="5"/>
  <c r="AO457" i="5" s="1"/>
  <c r="AM129" i="5"/>
  <c r="AO129" i="5" s="1"/>
  <c r="AM211" i="5"/>
  <c r="AO211" i="5" s="1"/>
  <c r="AM410" i="5"/>
  <c r="AM270" i="5"/>
  <c r="AM430" i="5"/>
  <c r="AM58" i="5"/>
  <c r="AN58" i="5" s="1"/>
  <c r="AM198" i="5"/>
  <c r="AM31" i="5"/>
  <c r="AM72" i="5"/>
  <c r="AM289" i="5"/>
  <c r="AO289" i="5" s="1"/>
  <c r="AM155" i="5"/>
  <c r="AM83" i="5"/>
  <c r="AM299" i="5"/>
  <c r="AM396" i="5"/>
  <c r="AO396" i="5" s="1"/>
  <c r="AM434" i="5"/>
  <c r="AM306" i="5"/>
  <c r="AM122" i="5"/>
  <c r="AM437" i="5"/>
  <c r="AN437" i="5" s="1"/>
  <c r="AM354" i="5"/>
  <c r="AM282" i="5"/>
  <c r="AM26" i="5"/>
  <c r="AM462" i="5"/>
  <c r="AO462" i="5" s="1"/>
  <c r="AM293" i="5"/>
  <c r="AM205" i="5"/>
  <c r="AM42" i="5"/>
  <c r="AM374" i="5"/>
  <c r="AO374" i="5" s="1"/>
  <c r="AM149" i="5"/>
  <c r="AM422" i="5"/>
  <c r="AM194" i="5"/>
  <c r="AM311" i="5"/>
  <c r="AO311" i="5" s="1"/>
  <c r="AM175" i="5"/>
  <c r="AM32" i="5"/>
  <c r="AM465" i="5"/>
  <c r="AN465" i="5" s="1"/>
  <c r="AM145" i="5"/>
  <c r="AN145" i="5" s="1"/>
  <c r="AM324" i="5"/>
  <c r="AM556" i="5"/>
  <c r="AM438" i="5"/>
  <c r="AM61" i="5"/>
  <c r="AO61" i="5" s="1"/>
  <c r="AM418" i="5"/>
  <c r="AM514" i="5"/>
  <c r="AM157" i="5"/>
  <c r="AO157" i="5" s="1"/>
  <c r="AM423" i="5"/>
  <c r="AN423" i="5" s="1"/>
  <c r="AM128" i="5"/>
  <c r="AM225" i="5"/>
  <c r="AN225" i="5" s="1"/>
  <c r="AM369" i="5"/>
  <c r="AM450" i="5"/>
  <c r="AN450" i="5" s="1"/>
  <c r="AM506" i="5"/>
  <c r="AN506" i="5" s="1"/>
  <c r="AM262" i="5"/>
  <c r="AM109" i="5"/>
  <c r="AO109" i="5" s="1"/>
  <c r="AM536" i="5"/>
  <c r="AN536" i="5" s="1"/>
  <c r="AM349" i="5"/>
  <c r="AM261" i="5"/>
  <c r="AM372" i="5"/>
  <c r="AM412" i="5"/>
  <c r="AO412" i="5" s="1"/>
  <c r="AM404" i="5"/>
  <c r="AO404" i="5" s="1"/>
  <c r="AM162" i="5"/>
  <c r="AO162" i="5" s="1"/>
  <c r="AM552" i="5"/>
  <c r="AM413" i="5"/>
  <c r="AN413" i="5" s="1"/>
  <c r="AM85" i="5"/>
  <c r="AM340" i="5"/>
  <c r="AM197" i="5"/>
  <c r="AM447" i="5"/>
  <c r="AN447" i="5" s="1"/>
  <c r="AM383" i="5"/>
  <c r="AN383" i="5" s="1"/>
  <c r="AM360" i="5"/>
  <c r="AM48" i="5"/>
  <c r="AM435" i="5"/>
  <c r="AO435" i="5" s="1"/>
  <c r="AM130" i="5"/>
  <c r="AM302" i="5"/>
  <c r="AM228" i="5"/>
  <c r="AM444" i="5"/>
  <c r="AO444" i="5" s="1"/>
  <c r="AM136" i="5"/>
  <c r="AO136" i="5" s="1"/>
  <c r="AM185" i="5"/>
  <c r="AN185" i="5" s="1"/>
  <c r="AM131" i="5"/>
  <c r="AN131" i="5" s="1"/>
  <c r="AM195" i="5"/>
  <c r="AN195" i="5" s="1"/>
  <c r="AM281" i="5"/>
  <c r="AM169" i="5"/>
  <c r="AJ539" i="5"/>
  <c r="AM209" i="5"/>
  <c r="AN209" i="5" s="1"/>
  <c r="AM551" i="5"/>
  <c r="AN551" i="5" s="1"/>
  <c r="AM325" i="5"/>
  <c r="AN325" i="5" s="1"/>
  <c r="AM318" i="5"/>
  <c r="AM98" i="5"/>
  <c r="AN98" i="5" s="1"/>
  <c r="AM518" i="5"/>
  <c r="AM390" i="5"/>
  <c r="AM210" i="5"/>
  <c r="AM528" i="5"/>
  <c r="AN528" i="5" s="1"/>
  <c r="AM532" i="5"/>
  <c r="AO532" i="5" s="1"/>
  <c r="AM301" i="5"/>
  <c r="AN301" i="5" s="1"/>
  <c r="AM142" i="5"/>
  <c r="AM543" i="5"/>
  <c r="AN543" i="5" s="1"/>
  <c r="AM338" i="5"/>
  <c r="AM82" i="5"/>
  <c r="AM356" i="5"/>
  <c r="AM116" i="5"/>
  <c r="AN116" i="5" s="1"/>
  <c r="AI88" i="5"/>
  <c r="AM87" i="5"/>
  <c r="AM176" i="5"/>
  <c r="AM118" i="5"/>
  <c r="AN118" i="5" s="1"/>
  <c r="AM510" i="5"/>
  <c r="AM490" i="5"/>
  <c r="AM294" i="5"/>
  <c r="AM106" i="5"/>
  <c r="AN106" i="5" s="1"/>
  <c r="AM560" i="5"/>
  <c r="AO560" i="5" s="1"/>
  <c r="AM206" i="5"/>
  <c r="AM481" i="5"/>
  <c r="AM358" i="5"/>
  <c r="AO358" i="5" s="1"/>
  <c r="AM110" i="5"/>
  <c r="AM223" i="5"/>
  <c r="AM127" i="5"/>
  <c r="AM267" i="5"/>
  <c r="AO267" i="5" s="1"/>
  <c r="AM421" i="5"/>
  <c r="AM341" i="5"/>
  <c r="AO341" i="5" s="1"/>
  <c r="AM174" i="5"/>
  <c r="AN174" i="5" s="1"/>
  <c r="AM45" i="5"/>
  <c r="AN45" i="5" s="1"/>
  <c r="AM474" i="5"/>
  <c r="AM252" i="5"/>
  <c r="AN252" i="5" s="1"/>
  <c r="AM274" i="5"/>
  <c r="AM132" i="5"/>
  <c r="AN132" i="5" s="1"/>
  <c r="AM79" i="5"/>
  <c r="AN79" i="5" s="1"/>
  <c r="AM533" i="5"/>
  <c r="AO533" i="5" s="1"/>
  <c r="AM455" i="5"/>
  <c r="AO455" i="5" s="1"/>
  <c r="AM367" i="5"/>
  <c r="AM239" i="5"/>
  <c r="AN239" i="5" s="1"/>
  <c r="AM219" i="5"/>
  <c r="T167" i="5"/>
  <c r="U167" i="5" s="1"/>
  <c r="AM71" i="5"/>
  <c r="T153" i="5"/>
  <c r="T122" i="5"/>
  <c r="AM328" i="5"/>
  <c r="AO328" i="5" s="1"/>
  <c r="AM224" i="5"/>
  <c r="AM56" i="5"/>
  <c r="AN56" i="5" s="1"/>
  <c r="AM385" i="5"/>
  <c r="AO385" i="5" s="1"/>
  <c r="AM331" i="5"/>
  <c r="AM260" i="5"/>
  <c r="AO260" i="5" s="1"/>
  <c r="AM415" i="5"/>
  <c r="AM547" i="5"/>
  <c r="AO547" i="5" s="1"/>
  <c r="AM446" i="5"/>
  <c r="AM420" i="5"/>
  <c r="AO420" i="5" s="1"/>
  <c r="AM220" i="5"/>
  <c r="AM81" i="5"/>
  <c r="AO81" i="5" s="1"/>
  <c r="AM463" i="5"/>
  <c r="AM419" i="5"/>
  <c r="AM167" i="5"/>
  <c r="AM23" i="5"/>
  <c r="AN23" i="5" s="1"/>
  <c r="T198" i="5"/>
  <c r="T58" i="5"/>
  <c r="V58" i="5" s="1"/>
  <c r="AH526" i="5"/>
  <c r="AI336" i="5"/>
  <c r="AM232" i="5"/>
  <c r="AN232" i="5" s="1"/>
  <c r="AM296" i="5"/>
  <c r="AO296" i="5" s="1"/>
  <c r="AM168" i="5"/>
  <c r="AN168" i="5" s="1"/>
  <c r="AM8" i="5"/>
  <c r="AN8" i="5" s="1"/>
  <c r="AM276" i="5"/>
  <c r="AO276" i="5" s="1"/>
  <c r="AM39" i="5"/>
  <c r="AO39" i="5" s="1"/>
  <c r="AJ371" i="5"/>
  <c r="AK371" i="5" s="1"/>
  <c r="O12" i="5"/>
  <c r="AJ12" i="5" s="1"/>
  <c r="AM477" i="5"/>
  <c r="AN477" i="5" s="1"/>
  <c r="AM314" i="5"/>
  <c r="AM125" i="5"/>
  <c r="AO125" i="5" s="1"/>
  <c r="AM505" i="5"/>
  <c r="AM406" i="5"/>
  <c r="AO406" i="5" s="1"/>
  <c r="AM249" i="5"/>
  <c r="AM221" i="5"/>
  <c r="AO221" i="5" s="1"/>
  <c r="AM70" i="5"/>
  <c r="AM537" i="5"/>
  <c r="AM335" i="5"/>
  <c r="AO335" i="5" s="1"/>
  <c r="AM287" i="5"/>
  <c r="AM199" i="5"/>
  <c r="AO199" i="5" s="1"/>
  <c r="AM47" i="5"/>
  <c r="AM103" i="5"/>
  <c r="AO103" i="5" s="1"/>
  <c r="T218" i="5"/>
  <c r="AM538" i="5"/>
  <c r="T184" i="5"/>
  <c r="AM40" i="5"/>
  <c r="AM88" i="5"/>
  <c r="AN88" i="5" s="1"/>
  <c r="AH393" i="5"/>
  <c r="AM137" i="5"/>
  <c r="AM451" i="5"/>
  <c r="AM259" i="5"/>
  <c r="AO259" i="5" s="1"/>
  <c r="AH122" i="5"/>
  <c r="AJ379" i="5"/>
  <c r="AM442" i="5"/>
  <c r="AO442" i="5" s="1"/>
  <c r="AM178" i="5"/>
  <c r="AM114" i="5"/>
  <c r="AN114" i="5" s="1"/>
  <c r="AM473" i="5"/>
  <c r="AN473" i="5" s="1"/>
  <c r="AM380" i="5"/>
  <c r="AM278" i="5"/>
  <c r="AM172" i="5"/>
  <c r="AO172" i="5" s="1"/>
  <c r="AM50" i="5"/>
  <c r="AI249" i="5"/>
  <c r="AM231" i="5"/>
  <c r="T219" i="5"/>
  <c r="U219" i="5" s="1"/>
  <c r="AM207" i="5"/>
  <c r="T111" i="5"/>
  <c r="T42" i="5"/>
  <c r="AM526" i="5"/>
  <c r="AO526" i="5" s="1"/>
  <c r="AM392" i="5"/>
  <c r="AM264" i="5"/>
  <c r="AN264" i="5" s="1"/>
  <c r="AM192" i="5"/>
  <c r="AM555" i="5"/>
  <c r="AN555" i="5" s="1"/>
  <c r="AM97" i="5"/>
  <c r="AN97" i="5" s="1"/>
  <c r="AM283" i="5"/>
  <c r="AN283" i="5" s="1"/>
  <c r="AM159" i="5"/>
  <c r="T23" i="5"/>
  <c r="U23" i="5" s="1"/>
  <c r="T71" i="5"/>
  <c r="AM111" i="5"/>
  <c r="AO111" i="5" s="1"/>
  <c r="T193" i="5"/>
  <c r="AM534" i="5"/>
  <c r="AN534" i="5" s="1"/>
  <c r="AM152" i="5"/>
  <c r="AO152" i="5" s="1"/>
  <c r="AM112" i="5"/>
  <c r="AO112" i="5" s="1"/>
  <c r="AM139" i="5"/>
  <c r="AH243" i="5"/>
  <c r="AI35" i="5"/>
  <c r="AM539" i="5"/>
  <c r="AM497" i="5"/>
  <c r="AO497" i="5" s="1"/>
  <c r="AM233" i="5"/>
  <c r="AM25" i="5"/>
  <c r="AO25" i="5" s="1"/>
  <c r="AM557" i="5"/>
  <c r="AO557" i="5" s="1"/>
  <c r="AM467" i="5"/>
  <c r="AO467" i="5" s="1"/>
  <c r="AM355" i="5"/>
  <c r="AO355" i="5" s="1"/>
  <c r="AM147" i="5"/>
  <c r="AN147" i="5" s="1"/>
  <c r="AM284" i="5"/>
  <c r="AN284" i="5" s="1"/>
  <c r="AM92" i="5"/>
  <c r="AN92" i="5" s="1"/>
  <c r="AM416" i="5"/>
  <c r="AN416" i="5" s="1"/>
  <c r="AH236" i="5"/>
  <c r="AI507" i="5"/>
  <c r="AH374" i="5"/>
  <c r="AH76" i="5"/>
  <c r="AI196" i="5"/>
  <c r="AM432" i="5"/>
  <c r="AN432" i="5" s="1"/>
  <c r="AM512" i="5"/>
  <c r="AM240" i="5"/>
  <c r="AO240" i="5" s="1"/>
  <c r="AM96" i="5"/>
  <c r="AN96" i="5" s="1"/>
  <c r="AM265" i="5"/>
  <c r="AO265" i="5" s="1"/>
  <c r="AM33" i="5"/>
  <c r="AN33" i="5" s="1"/>
  <c r="AM521" i="5"/>
  <c r="AN521" i="5" s="1"/>
  <c r="AM475" i="5"/>
  <c r="AO475" i="5" s="1"/>
  <c r="AM363" i="5"/>
  <c r="AO363" i="5" s="1"/>
  <c r="AM171" i="5"/>
  <c r="AM140" i="5"/>
  <c r="AO140" i="5" s="1"/>
  <c r="AM108" i="5"/>
  <c r="AM89" i="5"/>
  <c r="AO89" i="5" s="1"/>
  <c r="AI413" i="5"/>
  <c r="AI484" i="5"/>
  <c r="AJ51" i="5"/>
  <c r="AJ105" i="5"/>
  <c r="AL105" i="5" s="1"/>
  <c r="AM320" i="5"/>
  <c r="AM384" i="5"/>
  <c r="AO384" i="5" s="1"/>
  <c r="AM256" i="5"/>
  <c r="AM304" i="5"/>
  <c r="AM160" i="5"/>
  <c r="AO160" i="5" s="1"/>
  <c r="AM200" i="5"/>
  <c r="AO200" i="5" s="1"/>
  <c r="AM527" i="5"/>
  <c r="AM273" i="5"/>
  <c r="AO273" i="5" s="1"/>
  <c r="AM49" i="5"/>
  <c r="AN49" i="5" s="1"/>
  <c r="AM371" i="5"/>
  <c r="AN371" i="5" s="1"/>
  <c r="AM27" i="5"/>
  <c r="AM156" i="5"/>
  <c r="AN156" i="5" s="1"/>
  <c r="AH411" i="5"/>
  <c r="AI39" i="5"/>
  <c r="AM305" i="5"/>
  <c r="AN305" i="5" s="1"/>
  <c r="AM65" i="5"/>
  <c r="AO65" i="5" s="1"/>
  <c r="AM491" i="5"/>
  <c r="AN491" i="5" s="1"/>
  <c r="AM43" i="5"/>
  <c r="AO43" i="5" s="1"/>
  <c r="AM164" i="5"/>
  <c r="AN164" i="5" s="1"/>
  <c r="AM179" i="5"/>
  <c r="AN179" i="5" s="1"/>
  <c r="AJ273" i="5"/>
  <c r="AH549" i="5"/>
  <c r="AM312" i="5"/>
  <c r="AM433" i="5"/>
  <c r="AN433" i="5" s="1"/>
  <c r="AM313" i="5"/>
  <c r="AM73" i="5"/>
  <c r="AM427" i="5"/>
  <c r="AM499" i="5"/>
  <c r="AM51" i="5"/>
  <c r="AM212" i="5"/>
  <c r="AN212" i="5" s="1"/>
  <c r="AM343" i="5"/>
  <c r="AN343" i="5" s="1"/>
  <c r="AG43" i="5"/>
  <c r="AG191" i="5"/>
  <c r="AG431" i="5"/>
  <c r="AG329" i="5"/>
  <c r="AG263" i="5"/>
  <c r="AG331" i="5"/>
  <c r="AG342" i="5"/>
  <c r="AG541" i="5"/>
  <c r="AG150" i="5"/>
  <c r="AG95" i="5"/>
  <c r="AG241" i="5"/>
  <c r="AG399" i="5"/>
  <c r="AG52" i="5"/>
  <c r="AG388" i="5"/>
  <c r="AG430" i="5"/>
  <c r="AG325" i="5"/>
  <c r="AG543" i="5"/>
  <c r="AG53" i="5"/>
  <c r="AG369" i="5"/>
  <c r="B29" i="2"/>
  <c r="B25" i="2"/>
  <c r="B27" i="2"/>
  <c r="B23" i="2"/>
  <c r="B20" i="2"/>
  <c r="T90" i="5"/>
  <c r="T168" i="5"/>
  <c r="T132" i="5"/>
  <c r="T165" i="5"/>
  <c r="T189" i="5"/>
  <c r="AJ225" i="5"/>
  <c r="AK225" i="5" s="1"/>
  <c r="T143" i="5"/>
  <c r="V143" i="5" s="1"/>
  <c r="T103" i="5"/>
  <c r="U103" i="5" s="1"/>
  <c r="T217" i="5"/>
  <c r="T110" i="5"/>
  <c r="T277" i="5"/>
  <c r="T124" i="5"/>
  <c r="T46" i="5"/>
  <c r="U46" i="5" s="1"/>
  <c r="T158" i="5"/>
  <c r="T102" i="5"/>
  <c r="U102" i="5" s="1"/>
  <c r="AH373" i="5"/>
  <c r="T240" i="5"/>
  <c r="T200" i="5"/>
  <c r="AI307" i="5"/>
  <c r="T255" i="5"/>
  <c r="T220" i="5"/>
  <c r="U220" i="5" s="1"/>
  <c r="T97" i="5"/>
  <c r="U97" i="5" s="1"/>
  <c r="T213" i="5"/>
  <c r="U213" i="5" s="1"/>
  <c r="T108" i="5"/>
  <c r="U108" i="5" s="1"/>
  <c r="B43" i="5"/>
  <c r="T163" i="5"/>
  <c r="T81" i="5"/>
  <c r="T128" i="5"/>
  <c r="T48" i="5"/>
  <c r="U48" i="5" s="1"/>
  <c r="AI203" i="5"/>
  <c r="T99" i="5"/>
  <c r="U99" i="5" s="1"/>
  <c r="AH32" i="5"/>
  <c r="T127" i="5"/>
  <c r="T202" i="5"/>
  <c r="T78" i="5"/>
  <c r="T157" i="5"/>
  <c r="T60" i="5"/>
  <c r="U60" i="5" s="1"/>
  <c r="T238" i="5"/>
  <c r="U238" i="5" s="1"/>
  <c r="T178" i="5"/>
  <c r="V178" i="5" s="1"/>
  <c r="T77" i="5"/>
  <c r="V77" i="5" s="1"/>
  <c r="T144" i="5"/>
  <c r="T216" i="5"/>
  <c r="T96" i="5"/>
  <c r="AH323" i="5"/>
  <c r="T147" i="5"/>
  <c r="U147" i="5" s="1"/>
  <c r="AJ227" i="5"/>
  <c r="AK227" i="5" s="1"/>
  <c r="AH483" i="5"/>
  <c r="AH353" i="5"/>
  <c r="T179" i="5"/>
  <c r="T49" i="5"/>
  <c r="T197" i="5"/>
  <c r="T68" i="5"/>
  <c r="T234" i="5"/>
  <c r="U234" i="5" s="1"/>
  <c r="T148" i="5"/>
  <c r="T54" i="5"/>
  <c r="U54" i="5" s="1"/>
  <c r="AH409" i="5"/>
  <c r="AM163" i="5"/>
  <c r="AO163" i="5" s="1"/>
  <c r="AM488" i="5"/>
  <c r="AN488" i="5" s="1"/>
  <c r="AI187" i="5"/>
  <c r="AH115" i="5"/>
  <c r="T278" i="5"/>
  <c r="U278" i="5" s="1"/>
  <c r="T145" i="5"/>
  <c r="U145" i="5" s="1"/>
  <c r="T45" i="5"/>
  <c r="V45" i="5" s="1"/>
  <c r="T182" i="5"/>
  <c r="U182" i="5" s="1"/>
  <c r="T62" i="5"/>
  <c r="T209" i="5"/>
  <c r="T116" i="5"/>
  <c r="T29" i="5"/>
  <c r="T104" i="5"/>
  <c r="U104" i="5" s="1"/>
  <c r="T534" i="5"/>
  <c r="U534" i="5" s="1"/>
  <c r="T136" i="5"/>
  <c r="U136" i="5" s="1"/>
  <c r="AH358" i="5"/>
  <c r="AH446" i="5"/>
  <c r="AH277" i="5"/>
  <c r="T175" i="5"/>
  <c r="T257" i="5"/>
  <c r="V257" i="5" s="1"/>
  <c r="T129" i="5"/>
  <c r="V129" i="5" s="1"/>
  <c r="T21" i="5"/>
  <c r="U21" i="5" s="1"/>
  <c r="T86" i="5"/>
  <c r="V86" i="5" s="1"/>
  <c r="T20" i="5"/>
  <c r="T164" i="5"/>
  <c r="T113" i="5"/>
  <c r="T120" i="5"/>
  <c r="T40" i="5"/>
  <c r="V40" i="5" s="1"/>
  <c r="T72" i="5"/>
  <c r="AM504" i="5"/>
  <c r="AN504" i="5" s="1"/>
  <c r="AI151" i="5"/>
  <c r="AH151" i="5"/>
  <c r="B59" i="2"/>
  <c r="K26" i="2"/>
  <c r="B67" i="2"/>
  <c r="M26" i="2"/>
  <c r="B63" i="2"/>
  <c r="L26" i="2"/>
  <c r="AI490" i="5"/>
  <c r="AH490" i="5"/>
  <c r="AH308" i="5"/>
  <c r="AI308" i="5"/>
  <c r="AH50" i="5"/>
  <c r="AI50" i="5"/>
  <c r="AI33" i="5"/>
  <c r="AH33" i="5"/>
  <c r="AH505" i="5"/>
  <c r="AH177" i="5"/>
  <c r="AI185" i="5"/>
  <c r="AH185" i="5"/>
  <c r="AI98" i="5"/>
  <c r="AH98" i="5"/>
  <c r="AH478" i="5"/>
  <c r="AI478" i="5"/>
  <c r="AH509" i="5"/>
  <c r="AI509" i="5"/>
  <c r="AH73" i="5"/>
  <c r="AI73" i="5"/>
  <c r="AH60" i="5"/>
  <c r="AI60" i="5"/>
  <c r="AH269" i="5"/>
  <c r="AI269" i="5"/>
  <c r="AH433" i="5"/>
  <c r="AI433" i="5"/>
  <c r="AI309" i="5"/>
  <c r="AH309" i="5"/>
  <c r="AI362" i="5"/>
  <c r="AH362" i="5"/>
  <c r="AJ43" i="5"/>
  <c r="AK43" i="5" s="1"/>
  <c r="AJ147" i="5"/>
  <c r="AL147" i="5" s="1"/>
  <c r="AH111" i="5"/>
  <c r="B43" i="2"/>
  <c r="K35" i="2"/>
  <c r="AI145" i="5"/>
  <c r="AH145" i="5"/>
  <c r="AH482" i="5"/>
  <c r="AI482" i="5"/>
  <c r="AH123" i="5"/>
  <c r="AI123" i="5"/>
  <c r="AI366" i="5"/>
  <c r="AH366" i="5"/>
  <c r="AH395" i="5"/>
  <c r="AI395" i="5"/>
  <c r="AI107" i="5"/>
  <c r="AH107" i="5"/>
  <c r="AI116" i="5"/>
  <c r="AH116" i="5"/>
  <c r="AI213" i="5"/>
  <c r="AH445" i="5"/>
  <c r="AI445" i="5"/>
  <c r="AH86" i="5"/>
  <c r="AI174" i="5"/>
  <c r="AH174" i="5"/>
  <c r="AH555" i="5"/>
  <c r="AI555" i="5"/>
  <c r="AI59" i="5"/>
  <c r="AH59" i="5"/>
  <c r="AI102" i="5"/>
  <c r="AH102" i="5"/>
  <c r="AH254" i="5"/>
  <c r="AI254" i="5"/>
  <c r="AI468" i="5"/>
  <c r="AH532" i="5"/>
  <c r="AI532" i="5"/>
  <c r="AJ153" i="5"/>
  <c r="AL153" i="5" s="1"/>
  <c r="AJ169" i="5"/>
  <c r="AM64" i="5"/>
  <c r="AO64" i="5" s="1"/>
  <c r="AI201" i="5"/>
  <c r="AH201" i="5"/>
  <c r="AH310" i="5"/>
  <c r="AI310" i="5"/>
  <c r="AI235" i="5"/>
  <c r="AH235" i="5"/>
  <c r="AI27" i="5"/>
  <c r="AH27" i="5"/>
  <c r="AI539" i="5"/>
  <c r="AH539" i="5"/>
  <c r="AH357" i="5"/>
  <c r="AI357" i="5"/>
  <c r="AH114" i="5"/>
  <c r="AI114" i="5"/>
  <c r="AI559" i="5"/>
  <c r="AH559" i="5"/>
  <c r="AI183" i="5"/>
  <c r="AH183" i="5"/>
  <c r="AI429" i="5"/>
  <c r="AH443" i="5"/>
  <c r="AH225" i="5"/>
  <c r="L35" i="2"/>
  <c r="AI197" i="5"/>
  <c r="AH197" i="5"/>
  <c r="AI423" i="5"/>
  <c r="AH423" i="5"/>
  <c r="AI106" i="5"/>
  <c r="AH106" i="5"/>
  <c r="AI349" i="5"/>
  <c r="AH167" i="5"/>
  <c r="AI167" i="5"/>
  <c r="AI391" i="5"/>
  <c r="AH391" i="5"/>
  <c r="AH489" i="5"/>
  <c r="AI489" i="5"/>
  <c r="AM80" i="5"/>
  <c r="AO80" i="5" s="1"/>
  <c r="AI139" i="5"/>
  <c r="AH289" i="5"/>
  <c r="AI289" i="5"/>
  <c r="AI41" i="5"/>
  <c r="AI371" i="5"/>
  <c r="AH371" i="5"/>
  <c r="AI108" i="5"/>
  <c r="AH108" i="5"/>
  <c r="AI179" i="5"/>
  <c r="AH179" i="5"/>
  <c r="AH415" i="5"/>
  <c r="AI415" i="5"/>
  <c r="AJ483" i="5"/>
  <c r="AL483" i="5" s="1"/>
  <c r="AI231" i="5"/>
  <c r="AM472" i="5"/>
  <c r="T176" i="5"/>
  <c r="AI57" i="5"/>
  <c r="AH57" i="5"/>
  <c r="AH220" i="5"/>
  <c r="AI220" i="5"/>
  <c r="AI334" i="5"/>
  <c r="AH334" i="5"/>
  <c r="AI49" i="5"/>
  <c r="AH198" i="5"/>
  <c r="AI198" i="5"/>
  <c r="AH156" i="5"/>
  <c r="AH343" i="5"/>
  <c r="AI343" i="5"/>
  <c r="AI465" i="5"/>
  <c r="AH465" i="5"/>
  <c r="AI155" i="5"/>
  <c r="AH155" i="5"/>
  <c r="AI46" i="5"/>
  <c r="AH46" i="5"/>
  <c r="AH469" i="5"/>
  <c r="AM352" i="5"/>
  <c r="AO352" i="5" s="1"/>
  <c r="AI169" i="5"/>
  <c r="AH105" i="5"/>
  <c r="AI105" i="5"/>
  <c r="AI228" i="5"/>
  <c r="AH228" i="5"/>
  <c r="AH63" i="5"/>
  <c r="AI63" i="5"/>
  <c r="AI501" i="5"/>
  <c r="AH501" i="5"/>
  <c r="AH188" i="5"/>
  <c r="AI171" i="5"/>
  <c r="AH171" i="5"/>
  <c r="AI401" i="5"/>
  <c r="AH467" i="5"/>
  <c r="AI467" i="5"/>
  <c r="AH227" i="5"/>
  <c r="AI227" i="5"/>
  <c r="AH385" i="5"/>
  <c r="AH62" i="5"/>
  <c r="AI62" i="5"/>
  <c r="Q554" i="5"/>
  <c r="S554" i="5" s="1"/>
  <c r="Q312" i="5"/>
  <c r="S312" i="5" s="1"/>
  <c r="K35" i="5"/>
  <c r="W184" i="5"/>
  <c r="X184" i="5" s="1"/>
  <c r="W451" i="5"/>
  <c r="Y451" i="5" s="1"/>
  <c r="W319" i="5"/>
  <c r="Y319" i="5" s="1"/>
  <c r="Q344" i="5"/>
  <c r="R344" i="5" s="1"/>
  <c r="Q304" i="5"/>
  <c r="R304" i="5" s="1"/>
  <c r="W78" i="5"/>
  <c r="Y78" i="5" s="1"/>
  <c r="Q534" i="5"/>
  <c r="Q48" i="5"/>
  <c r="S48" i="5" s="1"/>
  <c r="Q320" i="5"/>
  <c r="S320" i="5" s="1"/>
  <c r="Q392" i="5"/>
  <c r="S392" i="5" s="1"/>
  <c r="Q400" i="5"/>
  <c r="S400" i="5" s="1"/>
  <c r="Q488" i="5"/>
  <c r="S488" i="5" s="1"/>
  <c r="Q8" i="5"/>
  <c r="R8" i="5" s="1"/>
  <c r="Q440" i="5"/>
  <c r="S440" i="5" s="1"/>
  <c r="Q200" i="5"/>
  <c r="Q72" i="5"/>
  <c r="S72" i="5" s="1"/>
  <c r="W301" i="5"/>
  <c r="X301" i="5" s="1"/>
  <c r="Q526" i="5"/>
  <c r="R526" i="5" s="1"/>
  <c r="Q456" i="5"/>
  <c r="S456" i="5" s="1"/>
  <c r="Q208" i="5"/>
  <c r="R208" i="5" s="1"/>
  <c r="Q512" i="5"/>
  <c r="S512" i="5" s="1"/>
  <c r="Q144" i="5"/>
  <c r="R144" i="5" s="1"/>
  <c r="B49" i="5"/>
  <c r="W272" i="5"/>
  <c r="W74" i="5"/>
  <c r="Y74" i="5" s="1"/>
  <c r="Q432" i="5"/>
  <c r="S432" i="5" s="1"/>
  <c r="Q168" i="5"/>
  <c r="S168" i="5" s="1"/>
  <c r="Q104" i="5"/>
  <c r="R104" i="5" s="1"/>
  <c r="Q448" i="5"/>
  <c r="R448" i="5" s="1"/>
  <c r="Q480" i="5"/>
  <c r="R480" i="5" s="1"/>
  <c r="Q384" i="5"/>
  <c r="S384" i="5" s="1"/>
  <c r="Q224" i="5"/>
  <c r="R224" i="5" s="1"/>
  <c r="Q152" i="5"/>
  <c r="S152" i="5" s="1"/>
  <c r="Q56" i="5"/>
  <c r="R56" i="5" s="1"/>
  <c r="Q112" i="5"/>
  <c r="R112" i="5" s="1"/>
  <c r="Q538" i="5"/>
  <c r="S538" i="5" s="1"/>
  <c r="Q496" i="5"/>
  <c r="S496" i="5" s="1"/>
  <c r="Q256" i="5"/>
  <c r="S256" i="5" s="1"/>
  <c r="Q120" i="5"/>
  <c r="R120" i="5" s="1"/>
  <c r="Q216" i="5"/>
  <c r="S216" i="5" s="1"/>
  <c r="Q80" i="5"/>
  <c r="S80" i="5" s="1"/>
  <c r="Q424" i="5"/>
  <c r="S424" i="5" s="1"/>
  <c r="Q464" i="5"/>
  <c r="S464" i="5" s="1"/>
  <c r="Q352" i="5"/>
  <c r="S352" i="5" s="1"/>
  <c r="Q264" i="5"/>
  <c r="S264" i="5" s="1"/>
  <c r="Q176" i="5"/>
  <c r="Q546" i="5"/>
  <c r="Q472" i="5"/>
  <c r="S472" i="5" s="1"/>
  <c r="Q416" i="5"/>
  <c r="R416" i="5" s="1"/>
  <c r="Q272" i="5"/>
  <c r="R272" i="5" s="1"/>
  <c r="Q40" i="5"/>
  <c r="S40" i="5" s="1"/>
  <c r="W515" i="5"/>
  <c r="Y515" i="5" s="1"/>
  <c r="W55" i="5"/>
  <c r="X55" i="5" s="1"/>
  <c r="W557" i="5"/>
  <c r="W453" i="5"/>
  <c r="Y453" i="5" s="1"/>
  <c r="W270" i="5"/>
  <c r="Y270" i="5" s="1"/>
  <c r="W100" i="5"/>
  <c r="Y100" i="5" s="1"/>
  <c r="W341" i="5"/>
  <c r="Y341" i="5" s="1"/>
  <c r="W375" i="5"/>
  <c r="Y375" i="5" s="1"/>
  <c r="W26" i="5"/>
  <c r="X26" i="5" s="1"/>
  <c r="Q296" i="5"/>
  <c r="R296" i="5" s="1"/>
  <c r="Q328" i="5"/>
  <c r="S328" i="5" s="1"/>
  <c r="Q360" i="5"/>
  <c r="S360" i="5" s="1"/>
  <c r="Q232" i="5"/>
  <c r="S232" i="5" s="1"/>
  <c r="Q128" i="5"/>
  <c r="R128" i="5" s="1"/>
  <c r="W160" i="5"/>
  <c r="Y160" i="5" s="1"/>
  <c r="Q184" i="5"/>
  <c r="S184" i="5" s="1"/>
  <c r="W24" i="5"/>
  <c r="Y24" i="5" s="1"/>
  <c r="Q64" i="5"/>
  <c r="R64" i="5" s="1"/>
  <c r="Q88" i="5"/>
  <c r="S88" i="5" s="1"/>
  <c r="W66" i="5"/>
  <c r="Y66" i="5" s="1"/>
  <c r="W281" i="5"/>
  <c r="X281" i="5" s="1"/>
  <c r="W28" i="5"/>
  <c r="X28" i="5" s="1"/>
  <c r="W490" i="5"/>
  <c r="X490" i="5" s="1"/>
  <c r="W372" i="5"/>
  <c r="Y372" i="5" s="1"/>
  <c r="W102" i="5"/>
  <c r="Y102" i="5" s="1"/>
  <c r="W86" i="5"/>
  <c r="Y86" i="5" s="1"/>
  <c r="W331" i="5"/>
  <c r="W441" i="5"/>
  <c r="X441" i="5" s="1"/>
  <c r="W204" i="5"/>
  <c r="Y204" i="5" s="1"/>
  <c r="W260" i="5"/>
  <c r="X260" i="5" s="1"/>
  <c r="W399" i="5"/>
  <c r="Y399" i="5" s="1"/>
  <c r="W492" i="5"/>
  <c r="X492" i="5" s="1"/>
  <c r="Q336" i="5"/>
  <c r="S336" i="5" s="1"/>
  <c r="Q368" i="5"/>
  <c r="Q408" i="5"/>
  <c r="S408" i="5" s="1"/>
  <c r="Q240" i="5"/>
  <c r="R240" i="5" s="1"/>
  <c r="Q280" i="5"/>
  <c r="S280" i="5" s="1"/>
  <c r="W136" i="5"/>
  <c r="Y136" i="5" s="1"/>
  <c r="Q160" i="5"/>
  <c r="S160" i="5" s="1"/>
  <c r="W192" i="5"/>
  <c r="Y192" i="5" s="1"/>
  <c r="Q24" i="5"/>
  <c r="S24" i="5" s="1"/>
  <c r="W282" i="5"/>
  <c r="W323" i="5"/>
  <c r="X323" i="5" s="1"/>
  <c r="W135" i="5"/>
  <c r="X135" i="5" s="1"/>
  <c r="W439" i="5"/>
  <c r="X439" i="5" s="1"/>
  <c r="W501" i="5"/>
  <c r="Y501" i="5" s="1"/>
  <c r="W210" i="5"/>
  <c r="Y210" i="5" s="1"/>
  <c r="W259" i="5"/>
  <c r="Y259" i="5" s="1"/>
  <c r="W98" i="5"/>
  <c r="X98" i="5" s="1"/>
  <c r="W110" i="5"/>
  <c r="W291" i="5"/>
  <c r="X291" i="5" s="1"/>
  <c r="W139" i="5"/>
  <c r="X139" i="5" s="1"/>
  <c r="W159" i="5"/>
  <c r="X159" i="5" s="1"/>
  <c r="W382" i="5"/>
  <c r="X382" i="5" s="1"/>
  <c r="W216" i="5"/>
  <c r="X216" i="5" s="1"/>
  <c r="W472" i="5"/>
  <c r="Y472" i="5" s="1"/>
  <c r="Q504" i="5"/>
  <c r="S504" i="5" s="1"/>
  <c r="Q376" i="5"/>
  <c r="Q248" i="5"/>
  <c r="R248" i="5" s="1"/>
  <c r="Q288" i="5"/>
  <c r="S288" i="5" s="1"/>
  <c r="Q136" i="5"/>
  <c r="R136" i="5" s="1"/>
  <c r="W168" i="5"/>
  <c r="Y168" i="5" s="1"/>
  <c r="Q192" i="5"/>
  <c r="S192" i="5" s="1"/>
  <c r="Q32" i="5"/>
  <c r="S32" i="5" s="1"/>
  <c r="W72" i="5"/>
  <c r="X72" i="5" s="1"/>
  <c r="W262" i="5"/>
  <c r="W29" i="5"/>
  <c r="Y29" i="5" s="1"/>
  <c r="W62" i="5"/>
  <c r="Y62" i="5" s="1"/>
  <c r="W365" i="5"/>
  <c r="X365" i="5" s="1"/>
  <c r="W497" i="5"/>
  <c r="Y497" i="5" s="1"/>
  <c r="W183" i="5"/>
  <c r="Y183" i="5" s="1"/>
  <c r="W239" i="5"/>
  <c r="X239" i="5" s="1"/>
  <c r="W334" i="5"/>
  <c r="Y334" i="5" s="1"/>
  <c r="W243" i="5"/>
  <c r="Y243" i="5" s="1"/>
  <c r="W212" i="5"/>
  <c r="W521" i="5"/>
  <c r="X521" i="5" s="1"/>
  <c r="W51" i="5"/>
  <c r="X51" i="5" s="1"/>
  <c r="W330" i="5"/>
  <c r="X330" i="5" s="1"/>
  <c r="W526" i="5"/>
  <c r="X526" i="5" s="1"/>
  <c r="W333" i="5"/>
  <c r="Y333" i="5" s="1"/>
  <c r="W321" i="5"/>
  <c r="X321" i="5" s="1"/>
  <c r="W481" i="5"/>
  <c r="Y481" i="5" s="1"/>
  <c r="W405" i="5"/>
  <c r="W65" i="5"/>
  <c r="X65" i="5" s="1"/>
  <c r="W274" i="5"/>
  <c r="Y274" i="5" s="1"/>
  <c r="W305" i="5"/>
  <c r="X305" i="5" s="1"/>
  <c r="W101" i="5"/>
  <c r="X101" i="5" s="1"/>
  <c r="W467" i="5"/>
  <c r="X467" i="5" s="1"/>
  <c r="W60" i="5"/>
  <c r="Y60" i="5" s="1"/>
  <c r="W366" i="5"/>
  <c r="W290" i="5"/>
  <c r="W189" i="5"/>
  <c r="X189" i="5" s="1"/>
  <c r="W554" i="5"/>
  <c r="X554" i="5" s="1"/>
  <c r="W80" i="5"/>
  <c r="X80" i="5" s="1"/>
  <c r="W75" i="5"/>
  <c r="X75" i="5" s="1"/>
  <c r="W438" i="5"/>
  <c r="Y438" i="5" s="1"/>
  <c r="W386" i="5"/>
  <c r="X386" i="5" s="1"/>
  <c r="W132" i="5"/>
  <c r="W343" i="5"/>
  <c r="W237" i="5"/>
  <c r="X237" i="5" s="1"/>
  <c r="W181" i="5"/>
  <c r="X181" i="5" s="1"/>
  <c r="W71" i="5"/>
  <c r="Y71" i="5" s="1"/>
  <c r="W422" i="5"/>
  <c r="X422" i="5" s="1"/>
  <c r="W197" i="5"/>
  <c r="X197" i="5" s="1"/>
  <c r="W549" i="5"/>
  <c r="Y549" i="5" s="1"/>
  <c r="W293" i="5"/>
  <c r="X293" i="5" s="1"/>
  <c r="W403" i="5"/>
  <c r="X161" i="5"/>
  <c r="W392" i="5"/>
  <c r="Y392" i="5" s="1"/>
  <c r="W394" i="5"/>
  <c r="Y394" i="5" s="1"/>
  <c r="W358" i="5"/>
  <c r="Y358" i="5" s="1"/>
  <c r="W517" i="5"/>
  <c r="X517" i="5" s="1"/>
  <c r="W125" i="5"/>
  <c r="W551" i="5"/>
  <c r="Y551" i="5" s="1"/>
  <c r="W106" i="5"/>
  <c r="X106" i="5" s="1"/>
  <c r="W255" i="5"/>
  <c r="X255" i="5" s="1"/>
  <c r="W436" i="5"/>
  <c r="X436" i="5" s="1"/>
  <c r="W535" i="5"/>
  <c r="Y535" i="5" s="1"/>
  <c r="W340" i="5"/>
  <c r="Y340" i="5" s="1"/>
  <c r="W154" i="5"/>
  <c r="W435" i="5"/>
  <c r="W158" i="5"/>
  <c r="X158" i="5" s="1"/>
  <c r="W27" i="5"/>
  <c r="Y27" i="5" s="1"/>
  <c r="W122" i="5"/>
  <c r="W348" i="5"/>
  <c r="Y348" i="5" s="1"/>
  <c r="W510" i="5"/>
  <c r="X510" i="5" s="1"/>
  <c r="W68" i="5"/>
  <c r="W507" i="5"/>
  <c r="Y507" i="5" s="1"/>
  <c r="W454" i="5"/>
  <c r="X454" i="5" s="1"/>
  <c r="W531" i="5"/>
  <c r="X531" i="5" s="1"/>
  <c r="W449" i="5"/>
  <c r="Y449" i="5" s="1"/>
  <c r="W267" i="5"/>
  <c r="X267" i="5" s="1"/>
  <c r="W177" i="5"/>
  <c r="Y177" i="5" s="1"/>
  <c r="W299" i="5"/>
  <c r="Y299" i="5" s="1"/>
  <c r="W351" i="5"/>
  <c r="Y351" i="5" s="1"/>
  <c r="W536" i="5"/>
  <c r="Y536" i="5" s="1"/>
  <c r="S19" i="4"/>
  <c r="AL19" i="4" s="1"/>
  <c r="S27" i="4"/>
  <c r="AL27" i="4" s="1"/>
  <c r="S35" i="4"/>
  <c r="AL35" i="4" s="1"/>
  <c r="S43" i="4"/>
  <c r="AL43" i="4" s="1"/>
  <c r="S51" i="4"/>
  <c r="AL51" i="4" s="1"/>
  <c r="S60" i="4"/>
  <c r="AL60" i="4" s="1"/>
  <c r="S134" i="4"/>
  <c r="AL134" i="4" s="1"/>
  <c r="S98" i="4"/>
  <c r="U98" i="4" s="1"/>
  <c r="S65" i="4"/>
  <c r="AL65" i="4" s="1"/>
  <c r="S92" i="4"/>
  <c r="AL92" i="4" s="1"/>
  <c r="S123" i="4"/>
  <c r="AL123" i="4" s="1"/>
  <c r="S149" i="4"/>
  <c r="AL149" i="4" s="1"/>
  <c r="S91" i="4"/>
  <c r="AL91" i="4" s="1"/>
  <c r="S133" i="4"/>
  <c r="AS133" i="4" s="1"/>
  <c r="S145" i="4"/>
  <c r="AL145" i="4" s="1"/>
  <c r="S138" i="4"/>
  <c r="AL138" i="4" s="1"/>
  <c r="S113" i="4"/>
  <c r="AL113" i="4" s="1"/>
  <c r="S89" i="4"/>
  <c r="AL89" i="4" s="1"/>
  <c r="S7" i="4"/>
  <c r="AL7" i="4" s="1"/>
  <c r="S58" i="4"/>
  <c r="AL58" i="4" s="1"/>
  <c r="S122" i="4"/>
  <c r="AL122" i="4" s="1"/>
  <c r="S73" i="4"/>
  <c r="V73" i="4" s="1"/>
  <c r="AM73" i="4" s="1"/>
  <c r="S20" i="4"/>
  <c r="AL20" i="4" s="1"/>
  <c r="S28" i="4"/>
  <c r="AL28" i="4" s="1"/>
  <c r="S36" i="4"/>
  <c r="AL36" i="4" s="1"/>
  <c r="S44" i="4"/>
  <c r="AL44" i="4" s="1"/>
  <c r="S52" i="4"/>
  <c r="AL52" i="4" s="1"/>
  <c r="S67" i="4"/>
  <c r="AL67" i="4" s="1"/>
  <c r="S68" i="4"/>
  <c r="AL68" i="4" s="1"/>
  <c r="S102" i="4"/>
  <c r="AL102" i="4" s="1"/>
  <c r="S66" i="4"/>
  <c r="AL66" i="4" s="1"/>
  <c r="S96" i="4"/>
  <c r="AL96" i="4" s="1"/>
  <c r="S124" i="4"/>
  <c r="AL124" i="4" s="1"/>
  <c r="S153" i="4"/>
  <c r="AL153" i="4" s="1"/>
  <c r="S95" i="4"/>
  <c r="AL95" i="4" s="1"/>
  <c r="S77" i="4"/>
  <c r="V77" i="4" s="1"/>
  <c r="S156" i="4"/>
  <c r="AL156" i="4" s="1"/>
  <c r="S141" i="4"/>
  <c r="AS141" i="4" s="1"/>
  <c r="S117" i="4"/>
  <c r="AL117" i="4" s="1"/>
  <c r="S108" i="4"/>
  <c r="AL108" i="4" s="1"/>
  <c r="S50" i="4"/>
  <c r="AL50" i="4" s="1"/>
  <c r="S88" i="4"/>
  <c r="AL88" i="4" s="1"/>
  <c r="S118" i="4"/>
  <c r="U118" i="4" s="1"/>
  <c r="S15" i="4"/>
  <c r="AL15" i="4" s="1"/>
  <c r="S21" i="4"/>
  <c r="S29" i="4"/>
  <c r="AL29" i="4" s="1"/>
  <c r="S37" i="4"/>
  <c r="AL37" i="4" s="1"/>
  <c r="S45" i="4"/>
  <c r="AL45" i="4" s="1"/>
  <c r="S53" i="4"/>
  <c r="AL53" i="4" s="1"/>
  <c r="S62" i="4"/>
  <c r="U62" i="4" s="1"/>
  <c r="S74" i="4"/>
  <c r="AL74" i="4" s="1"/>
  <c r="S109" i="4"/>
  <c r="AL109" i="4" s="1"/>
  <c r="S71" i="4"/>
  <c r="AL71" i="4" s="1"/>
  <c r="S100" i="4"/>
  <c r="AL100" i="4" s="1"/>
  <c r="S125" i="4"/>
  <c r="AL125" i="4" s="1"/>
  <c r="S8" i="4"/>
  <c r="AL8" i="4" s="1"/>
  <c r="S103" i="4"/>
  <c r="AL103" i="4" s="1"/>
  <c r="S93" i="4"/>
  <c r="AL93" i="4" s="1"/>
  <c r="S9" i="4"/>
  <c r="AL9" i="4" s="1"/>
  <c r="S152" i="4"/>
  <c r="AL152" i="4" s="1"/>
  <c r="S147" i="4"/>
  <c r="AL147" i="4" s="1"/>
  <c r="S116" i="4"/>
  <c r="AL116" i="4" s="1"/>
  <c r="S26" i="4"/>
  <c r="AL26" i="4" s="1"/>
  <c r="S130" i="4"/>
  <c r="U130" i="4" s="1"/>
  <c r="S83" i="4"/>
  <c r="AL83" i="4" s="1"/>
  <c r="S101" i="4"/>
  <c r="S63" i="4"/>
  <c r="AL63" i="4" s="1"/>
  <c r="S22" i="4"/>
  <c r="AL22" i="4" s="1"/>
  <c r="S30" i="4"/>
  <c r="AL30" i="4" s="1"/>
  <c r="S38" i="4"/>
  <c r="AL38" i="4" s="1"/>
  <c r="S46" i="4"/>
  <c r="AL46" i="4" s="1"/>
  <c r="S54" i="4"/>
  <c r="AL54" i="4" s="1"/>
  <c r="S69" i="4"/>
  <c r="AL69" i="4" s="1"/>
  <c r="S78" i="4"/>
  <c r="AL78" i="4" s="1"/>
  <c r="S110" i="4"/>
  <c r="AL110" i="4" s="1"/>
  <c r="S72" i="4"/>
  <c r="AL72" i="4" s="1"/>
  <c r="S105" i="4"/>
  <c r="V105" i="4" s="1"/>
  <c r="S126" i="4"/>
  <c r="AL126" i="4" s="1"/>
  <c r="S61" i="4"/>
  <c r="AL61" i="4" s="1"/>
  <c r="S104" i="4"/>
  <c r="AL104" i="4" s="1"/>
  <c r="S107" i="4"/>
  <c r="AL107" i="4" s="1"/>
  <c r="S10" i="4"/>
  <c r="AS10" i="4" s="1"/>
  <c r="S155" i="4"/>
  <c r="AS155" i="4" s="1"/>
  <c r="S148" i="4"/>
  <c r="AL148" i="4" s="1"/>
  <c r="S143" i="4"/>
  <c r="U143" i="4" s="1"/>
  <c r="S18" i="4"/>
  <c r="AL18" i="4" s="1"/>
  <c r="S94" i="4"/>
  <c r="S132" i="4"/>
  <c r="S64" i="4"/>
  <c r="AL64" i="4" s="1"/>
  <c r="S23" i="4"/>
  <c r="AL23" i="4" s="1"/>
  <c r="S31" i="4"/>
  <c r="AL31" i="4" s="1"/>
  <c r="S39" i="4"/>
  <c r="AL39" i="4" s="1"/>
  <c r="S47" i="4"/>
  <c r="AL47" i="4" s="1"/>
  <c r="S55" i="4"/>
  <c r="AL55" i="4" s="1"/>
  <c r="S87" i="4"/>
  <c r="AL87" i="4" s="1"/>
  <c r="S82" i="4"/>
  <c r="AL82" i="4" s="1"/>
  <c r="S119" i="4"/>
  <c r="AL119" i="4" s="1"/>
  <c r="S76" i="4"/>
  <c r="AL76" i="4" s="1"/>
  <c r="S106" i="4"/>
  <c r="AL106" i="4" s="1"/>
  <c r="S135" i="4"/>
  <c r="AL135" i="4" s="1"/>
  <c r="S70" i="4"/>
  <c r="AL70" i="4" s="1"/>
  <c r="S111" i="4"/>
  <c r="AL111" i="4" s="1"/>
  <c r="S115" i="4"/>
  <c r="AL115" i="4" s="1"/>
  <c r="S81" i="4"/>
  <c r="AL81" i="4" s="1"/>
  <c r="S13" i="4"/>
  <c r="AL13" i="4" s="1"/>
  <c r="S151" i="4"/>
  <c r="AL151" i="4" s="1"/>
  <c r="S146" i="4"/>
  <c r="AL146" i="4" s="1"/>
  <c r="S42" i="4"/>
  <c r="AL42" i="4" s="1"/>
  <c r="S144" i="4"/>
  <c r="AL144" i="4" s="1"/>
  <c r="S11" i="4"/>
  <c r="AL11" i="4" s="1"/>
  <c r="S16" i="4"/>
  <c r="AL16" i="4" s="1"/>
  <c r="S24" i="4"/>
  <c r="AL24" i="4" s="1"/>
  <c r="S32" i="4"/>
  <c r="AL32" i="4" s="1"/>
  <c r="S40" i="4"/>
  <c r="AL40" i="4" s="1"/>
  <c r="S48" i="4"/>
  <c r="AL48" i="4" s="1"/>
  <c r="S56" i="4"/>
  <c r="AL56" i="4" s="1"/>
  <c r="S99" i="4"/>
  <c r="AL99" i="4" s="1"/>
  <c r="S86" i="4"/>
  <c r="AL86" i="4" s="1"/>
  <c r="S128" i="4"/>
  <c r="AL128" i="4" s="1"/>
  <c r="S80" i="4"/>
  <c r="AL80" i="4" s="1"/>
  <c r="S112" i="4"/>
  <c r="AL112" i="4" s="1"/>
  <c r="S139" i="4"/>
  <c r="AL139" i="4" s="1"/>
  <c r="S75" i="4"/>
  <c r="AL75" i="4" s="1"/>
  <c r="S129" i="4"/>
  <c r="AL129" i="4" s="1"/>
  <c r="S127" i="4"/>
  <c r="AL127" i="4" s="1"/>
  <c r="S97" i="4"/>
  <c r="AL97" i="4" s="1"/>
  <c r="S14" i="4"/>
  <c r="AL14" i="4" s="1"/>
  <c r="S154" i="4"/>
  <c r="AL154" i="4" s="1"/>
  <c r="S150" i="4"/>
  <c r="AL150" i="4" s="1"/>
  <c r="S17" i="4"/>
  <c r="AL17" i="4" s="1"/>
  <c r="S25" i="4"/>
  <c r="AL25" i="4" s="1"/>
  <c r="S33" i="4"/>
  <c r="AL33" i="4" s="1"/>
  <c r="S41" i="4"/>
  <c r="AL41" i="4" s="1"/>
  <c r="S49" i="4"/>
  <c r="AL49" i="4" s="1"/>
  <c r="S57" i="4"/>
  <c r="AL57" i="4" s="1"/>
  <c r="S120" i="4"/>
  <c r="AL120" i="4" s="1"/>
  <c r="S90" i="4"/>
  <c r="AL90" i="4" s="1"/>
  <c r="S137" i="4"/>
  <c r="AL137" i="4" s="1"/>
  <c r="S84" i="4"/>
  <c r="V84" i="4" s="1"/>
  <c r="S121" i="4"/>
  <c r="AL121" i="4" s="1"/>
  <c r="S140" i="4"/>
  <c r="V140" i="4" s="1"/>
  <c r="S79" i="4"/>
  <c r="S131" i="4"/>
  <c r="AL131" i="4" s="1"/>
  <c r="S136" i="4"/>
  <c r="AL136" i="4" s="1"/>
  <c r="S114" i="4"/>
  <c r="AL114" i="4" s="1"/>
  <c r="S85" i="4"/>
  <c r="AL85" i="4" s="1"/>
  <c r="S12" i="4"/>
  <c r="AL12" i="4" s="1"/>
  <c r="S157" i="4"/>
  <c r="V157" i="4" s="1"/>
  <c r="S34" i="4"/>
  <c r="S59" i="4"/>
  <c r="S142" i="4"/>
  <c r="AL142" i="4" s="1"/>
  <c r="W546" i="5"/>
  <c r="Y546" i="5" s="1"/>
  <c r="W424" i="5"/>
  <c r="X424" i="5" s="1"/>
  <c r="W448" i="5"/>
  <c r="X448" i="5" s="1"/>
  <c r="W496" i="5"/>
  <c r="Y496" i="5" s="1"/>
  <c r="W320" i="5"/>
  <c r="X320" i="5" s="1"/>
  <c r="W344" i="5"/>
  <c r="Y344" i="5" s="1"/>
  <c r="W368" i="5"/>
  <c r="Y368" i="5" s="1"/>
  <c r="W312" i="5"/>
  <c r="X312" i="5" s="1"/>
  <c r="W48" i="5"/>
  <c r="X48" i="5" s="1"/>
  <c r="W96" i="5"/>
  <c r="Y96" i="5" s="1"/>
  <c r="W553" i="5"/>
  <c r="Y553" i="5" s="1"/>
  <c r="W220" i="5"/>
  <c r="X220" i="5" s="1"/>
  <c r="W89" i="5"/>
  <c r="Y89" i="5" s="1"/>
  <c r="W218" i="5"/>
  <c r="Y218" i="5" s="1"/>
  <c r="W324" i="5"/>
  <c r="Y324" i="5" s="1"/>
  <c r="W390" i="5"/>
  <c r="Y390" i="5" s="1"/>
  <c r="W425" i="5"/>
  <c r="X425" i="5" s="1"/>
  <c r="W361" i="5"/>
  <c r="X361" i="5" s="1"/>
  <c r="W362" i="5"/>
  <c r="X362" i="5" s="1"/>
  <c r="W67" i="5"/>
  <c r="X67" i="5" s="1"/>
  <c r="W105" i="5"/>
  <c r="X105" i="5" s="1"/>
  <c r="W503" i="5"/>
  <c r="X503" i="5" s="1"/>
  <c r="W494" i="5"/>
  <c r="X494" i="5" s="1"/>
  <c r="W58" i="5"/>
  <c r="Y58" i="5" s="1"/>
  <c r="W552" i="5"/>
  <c r="Y552" i="5" s="1"/>
  <c r="W332" i="5"/>
  <c r="X332" i="5" s="1"/>
  <c r="W93" i="5"/>
  <c r="X93" i="5" s="1"/>
  <c r="W476" i="5"/>
  <c r="Y476" i="5" s="1"/>
  <c r="W478" i="5"/>
  <c r="Y478" i="5" s="1"/>
  <c r="W164" i="5"/>
  <c r="Y164" i="5" s="1"/>
  <c r="W474" i="5"/>
  <c r="Y474" i="5" s="1"/>
  <c r="W273" i="5"/>
  <c r="Y273" i="5" s="1"/>
  <c r="W244" i="5"/>
  <c r="Y244" i="5" s="1"/>
  <c r="W129" i="5"/>
  <c r="Y129" i="5" s="1"/>
  <c r="W163" i="5"/>
  <c r="X163" i="5" s="1"/>
  <c r="W167" i="5"/>
  <c r="W318" i="5"/>
  <c r="X318" i="5" s="1"/>
  <c r="W310" i="5"/>
  <c r="Y310" i="5" s="1"/>
  <c r="W44" i="5"/>
  <c r="Y44" i="5" s="1"/>
  <c r="W233" i="5"/>
  <c r="X233" i="5" s="1"/>
  <c r="W36" i="5"/>
  <c r="Y36" i="5" s="1"/>
  <c r="W82" i="5"/>
  <c r="X82" i="5" s="1"/>
  <c r="W428" i="5"/>
  <c r="Y428" i="5" s="1"/>
  <c r="W471" i="5"/>
  <c r="Y471" i="5" s="1"/>
  <c r="W21" i="5"/>
  <c r="Y21" i="5" s="1"/>
  <c r="W559" i="5"/>
  <c r="Y559" i="5" s="1"/>
  <c r="W410" i="5"/>
  <c r="X410" i="5" s="1"/>
  <c r="W222" i="5"/>
  <c r="Y222" i="5" s="1"/>
  <c r="W254" i="5"/>
  <c r="Y254" i="5" s="1"/>
  <c r="W130" i="5"/>
  <c r="X130" i="5" s="1"/>
  <c r="W235" i="5"/>
  <c r="W377" i="5"/>
  <c r="W461" i="5"/>
  <c r="W207" i="5"/>
  <c r="Y207" i="5" s="1"/>
  <c r="W408" i="5"/>
  <c r="X408" i="5" s="1"/>
  <c r="W47" i="5"/>
  <c r="W77" i="5"/>
  <c r="X77" i="5" s="1"/>
  <c r="W307" i="5"/>
  <c r="W445" i="5"/>
  <c r="Y445" i="5" s="1"/>
  <c r="W429" i="5"/>
  <c r="X429" i="5" s="1"/>
  <c r="W185" i="5"/>
  <c r="X185" i="5" s="1"/>
  <c r="W423" i="5"/>
  <c r="X423" i="5" s="1"/>
  <c r="W442" i="5"/>
  <c r="Y442" i="5" s="1"/>
  <c r="W248" i="5"/>
  <c r="Y248" i="5" s="1"/>
  <c r="W456" i="5"/>
  <c r="W504" i="5"/>
  <c r="Y504" i="5" s="1"/>
  <c r="W376" i="5"/>
  <c r="X376" i="5" s="1"/>
  <c r="W400" i="5"/>
  <c r="Y400" i="5" s="1"/>
  <c r="W224" i="5"/>
  <c r="Y224" i="5" s="1"/>
  <c r="W256" i="5"/>
  <c r="Y256" i="5" s="1"/>
  <c r="W288" i="5"/>
  <c r="X288" i="5" s="1"/>
  <c r="W120" i="5"/>
  <c r="X120" i="5" s="1"/>
  <c r="W56" i="5"/>
  <c r="W104" i="5"/>
  <c r="Y104" i="5" s="1"/>
  <c r="W148" i="5"/>
  <c r="X148" i="5" s="1"/>
  <c r="W491" i="5"/>
  <c r="Y491" i="5" s="1"/>
  <c r="W322" i="5"/>
  <c r="Y322" i="5" s="1"/>
  <c r="W114" i="5"/>
  <c r="Y114" i="5" s="1"/>
  <c r="W347" i="5"/>
  <c r="Y347" i="5" s="1"/>
  <c r="W378" i="5"/>
  <c r="X378" i="5" s="1"/>
  <c r="W528" i="5"/>
  <c r="Y528" i="5" s="1"/>
  <c r="W508" i="5"/>
  <c r="Y508" i="5" s="1"/>
  <c r="W327" i="5"/>
  <c r="Y327" i="5" s="1"/>
  <c r="W271" i="5"/>
  <c r="X271" i="5" s="1"/>
  <c r="W37" i="5"/>
  <c r="X37" i="5" s="1"/>
  <c r="W356" i="5"/>
  <c r="X356" i="5" s="1"/>
  <c r="W409" i="5"/>
  <c r="Y409" i="5" s="1"/>
  <c r="W530" i="5"/>
  <c r="X530" i="5" s="1"/>
  <c r="W269" i="5"/>
  <c r="W206" i="5"/>
  <c r="Y206" i="5" s="1"/>
  <c r="W20" i="5"/>
  <c r="X20" i="5" s="1"/>
  <c r="W300" i="5"/>
  <c r="Y300" i="5" s="1"/>
  <c r="W393" i="5"/>
  <c r="Y393" i="5" s="1"/>
  <c r="W34" i="5"/>
  <c r="Y34" i="5" s="1"/>
  <c r="W391" i="5"/>
  <c r="X391" i="5" s="1"/>
  <c r="W373" i="5"/>
  <c r="W145" i="5"/>
  <c r="X145" i="5" s="1"/>
  <c r="W178" i="5"/>
  <c r="Y178" i="5" s="1"/>
  <c r="W458" i="5"/>
  <c r="X458" i="5" s="1"/>
  <c r="W511" i="5"/>
  <c r="Y511" i="5" s="1"/>
  <c r="W134" i="5"/>
  <c r="X134" i="5" s="1"/>
  <c r="W236" i="5"/>
  <c r="X236" i="5" s="1"/>
  <c r="W411" i="5"/>
  <c r="X411" i="5" s="1"/>
  <c r="W278" i="5"/>
  <c r="Y278" i="5" s="1"/>
  <c r="W311" i="5"/>
  <c r="Y311" i="5" s="1"/>
  <c r="W39" i="5"/>
  <c r="X39" i="5" s="1"/>
  <c r="W261" i="5"/>
  <c r="Y261" i="5" s="1"/>
  <c r="W473" i="5"/>
  <c r="X473" i="5" s="1"/>
  <c r="W475" i="5"/>
  <c r="Y475" i="5" s="1"/>
  <c r="W430" i="5"/>
  <c r="X430" i="5" s="1"/>
  <c r="W45" i="5"/>
  <c r="X45" i="5" s="1"/>
  <c r="W174" i="5"/>
  <c r="Y174" i="5" s="1"/>
  <c r="W195" i="5"/>
  <c r="Y195" i="5" s="1"/>
  <c r="W505" i="5"/>
  <c r="Y505" i="5" s="1"/>
  <c r="W69" i="5"/>
  <c r="X69" i="5" s="1"/>
  <c r="W172" i="5"/>
  <c r="X172" i="5" s="1"/>
  <c r="W297" i="5"/>
  <c r="X297" i="5" s="1"/>
  <c r="W523" i="5"/>
  <c r="X523" i="5" s="1"/>
  <c r="W257" i="5"/>
  <c r="Y257" i="5" s="1"/>
  <c r="W258" i="5"/>
  <c r="Y258" i="5" s="1"/>
  <c r="W53" i="5"/>
  <c r="X53" i="5" s="1"/>
  <c r="W406" i="5"/>
  <c r="Y406" i="5" s="1"/>
  <c r="W213" i="5"/>
  <c r="X213" i="5" s="1"/>
  <c r="W460" i="5"/>
  <c r="X460" i="5" s="1"/>
  <c r="W46" i="5"/>
  <c r="X46" i="5" s="1"/>
  <c r="W268" i="5"/>
  <c r="X268" i="5" s="1"/>
  <c r="B40" i="5"/>
  <c r="W32" i="5"/>
  <c r="Y32" i="5" s="1"/>
  <c r="W432" i="5"/>
  <c r="Y432" i="5" s="1"/>
  <c r="W480" i="5"/>
  <c r="X480" i="5" s="1"/>
  <c r="W328" i="5"/>
  <c r="Y328" i="5" s="1"/>
  <c r="W144" i="5"/>
  <c r="X144" i="5" s="1"/>
  <c r="W200" i="5"/>
  <c r="Y200" i="5" s="1"/>
  <c r="W522" i="5"/>
  <c r="Y522" i="5" s="1"/>
  <c r="W283" i="5"/>
  <c r="Y283" i="5" s="1"/>
  <c r="W326" i="5"/>
  <c r="X326" i="5" s="1"/>
  <c r="W111" i="5"/>
  <c r="Y111" i="5" s="1"/>
  <c r="W149" i="5"/>
  <c r="Y149" i="5" s="1"/>
  <c r="W396" i="5"/>
  <c r="X396" i="5" s="1"/>
  <c r="W518" i="5"/>
  <c r="Y518" i="5" s="1"/>
  <c r="W294" i="5"/>
  <c r="X294" i="5" s="1"/>
  <c r="W306" i="5"/>
  <c r="Y306" i="5" s="1"/>
  <c r="W81" i="5"/>
  <c r="X81" i="5" s="1"/>
  <c r="W289" i="5"/>
  <c r="X289" i="5" s="1"/>
  <c r="W367" i="5"/>
  <c r="Y367" i="5" s="1"/>
  <c r="W401" i="5"/>
  <c r="X401" i="5" s="1"/>
  <c r="W292" i="5"/>
  <c r="Y292" i="5" s="1"/>
  <c r="W415" i="5"/>
  <c r="X415" i="5" s="1"/>
  <c r="W91" i="5"/>
  <c r="Y91" i="5" s="1"/>
  <c r="W265" i="5"/>
  <c r="X265" i="5" s="1"/>
  <c r="W346" i="5"/>
  <c r="X346" i="5" s="1"/>
  <c r="W387" i="5"/>
  <c r="Y387" i="5" s="1"/>
  <c r="W308" i="5"/>
  <c r="X308" i="5" s="1"/>
  <c r="W190" i="5"/>
  <c r="X190" i="5" s="1"/>
  <c r="W109" i="5"/>
  <c r="X109" i="5" s="1"/>
  <c r="W117" i="5"/>
  <c r="Y117" i="5" s="1"/>
  <c r="W443" i="5"/>
  <c r="X443" i="5" s="1"/>
  <c r="W483" i="5"/>
  <c r="Y483" i="5" s="1"/>
  <c r="W49" i="5"/>
  <c r="W459" i="5"/>
  <c r="W285" i="5"/>
  <c r="W242" i="5"/>
  <c r="X242" i="5" s="1"/>
  <c r="W263" i="5"/>
  <c r="Y263" i="5" s="1"/>
  <c r="W95" i="5"/>
  <c r="Y95" i="5" s="1"/>
  <c r="W298" i="5"/>
  <c r="Y298" i="5" s="1"/>
  <c r="W371" i="5"/>
  <c r="X371" i="5" s="1"/>
  <c r="W97" i="5"/>
  <c r="X97" i="5" s="1"/>
  <c r="W253" i="5"/>
  <c r="X253" i="5" s="1"/>
  <c r="W214" i="5"/>
  <c r="X214" i="5" s="1"/>
  <c r="W113" i="5"/>
  <c r="W166" i="5"/>
  <c r="Y166" i="5" s="1"/>
  <c r="W389" i="5"/>
  <c r="X389" i="5" s="1"/>
  <c r="W468" i="5"/>
  <c r="Y468" i="5" s="1"/>
  <c r="W115" i="5"/>
  <c r="X115" i="5" s="1"/>
  <c r="W520" i="5"/>
  <c r="X520" i="5" s="1"/>
  <c r="W506" i="5"/>
  <c r="X506" i="5" s="1"/>
  <c r="W193" i="5"/>
  <c r="W221" i="5"/>
  <c r="X221" i="5" s="1"/>
  <c r="W108" i="5"/>
  <c r="Y108" i="5" s="1"/>
  <c r="W313" i="5"/>
  <c r="Y313" i="5" s="1"/>
  <c r="W226" i="5"/>
  <c r="Y226" i="5" s="1"/>
  <c r="W479" i="5"/>
  <c r="W50" i="5"/>
  <c r="W275" i="5"/>
  <c r="Y275" i="5" s="1"/>
  <c r="W342" i="5"/>
  <c r="X342" i="5" s="1"/>
  <c r="W352" i="5"/>
  <c r="X352" i="5" s="1"/>
  <c r="W534" i="5"/>
  <c r="Y534" i="5" s="1"/>
  <c r="W264" i="5"/>
  <c r="X264" i="5" s="1"/>
  <c r="W176" i="5"/>
  <c r="X176" i="5" s="1"/>
  <c r="W64" i="5"/>
  <c r="Y64" i="5" s="1"/>
  <c r="W112" i="5"/>
  <c r="W537" i="5"/>
  <c r="Y537" i="5" s="1"/>
  <c r="W126" i="5"/>
  <c r="X126" i="5" s="1"/>
  <c r="W544" i="5"/>
  <c r="X544" i="5" s="1"/>
  <c r="W107" i="5"/>
  <c r="X107" i="5" s="1"/>
  <c r="W314" i="5"/>
  <c r="X314" i="5" s="1"/>
  <c r="W338" i="5"/>
  <c r="Y338" i="5" s="1"/>
  <c r="W170" i="5"/>
  <c r="Y170" i="5" s="1"/>
  <c r="W201" i="5"/>
  <c r="Y201" i="5" s="1"/>
  <c r="W198" i="5"/>
  <c r="Y198" i="5" s="1"/>
  <c r="W286" i="5"/>
  <c r="X286" i="5" s="1"/>
  <c r="W140" i="5"/>
  <c r="Y140" i="5" s="1"/>
  <c r="W196" i="5"/>
  <c r="X196" i="5" s="1"/>
  <c r="W302" i="5"/>
  <c r="Y302" i="5" s="1"/>
  <c r="W431" i="5"/>
  <c r="Y431" i="5" s="1"/>
  <c r="W76" i="5"/>
  <c r="X76" i="5" s="1"/>
  <c r="W59" i="5"/>
  <c r="X59" i="5" s="1"/>
  <c r="W179" i="5"/>
  <c r="X179" i="5" s="1"/>
  <c r="W231" i="5"/>
  <c r="Y231" i="5" s="1"/>
  <c r="W251" i="5"/>
  <c r="X251" i="5" s="1"/>
  <c r="W498" i="5"/>
  <c r="Y498" i="5" s="1"/>
  <c r="W43" i="5"/>
  <c r="Y43" i="5" s="1"/>
  <c r="W303" i="5"/>
  <c r="Y303" i="5" s="1"/>
  <c r="W54" i="5"/>
  <c r="X54" i="5" s="1"/>
  <c r="W84" i="5"/>
  <c r="X84" i="5" s="1"/>
  <c r="W465" i="5"/>
  <c r="Y465" i="5" s="1"/>
  <c r="W450" i="5"/>
  <c r="X450" i="5" s="1"/>
  <c r="W246" i="5"/>
  <c r="X246" i="5" s="1"/>
  <c r="W539" i="5"/>
  <c r="X539" i="5" s="1"/>
  <c r="W329" i="5"/>
  <c r="Y329" i="5" s="1"/>
  <c r="W228" i="5"/>
  <c r="Y228" i="5" s="1"/>
  <c r="W232" i="5"/>
  <c r="Y232" i="5" s="1"/>
  <c r="W191" i="5"/>
  <c r="Y191" i="5" s="1"/>
  <c r="W287" i="5"/>
  <c r="X287" i="5" s="1"/>
  <c r="W412" i="5"/>
  <c r="Y412" i="5" s="1"/>
  <c r="W407" i="5"/>
  <c r="X407" i="5" s="1"/>
  <c r="W309" i="5"/>
  <c r="Y309" i="5" s="1"/>
  <c r="W525" i="5"/>
  <c r="Y525" i="5" s="1"/>
  <c r="W63" i="5"/>
  <c r="X63" i="5" s="1"/>
  <c r="W121" i="5"/>
  <c r="X121" i="5" s="1"/>
  <c r="W402" i="5"/>
  <c r="X402" i="5" s="1"/>
  <c r="W433" i="5"/>
  <c r="X433" i="5" s="1"/>
  <c r="W35" i="5"/>
  <c r="X35" i="5" s="1"/>
  <c r="W560" i="5"/>
  <c r="Y560" i="5" s="1"/>
  <c r="W381" i="5"/>
  <c r="X381" i="5" s="1"/>
  <c r="W187" i="5"/>
  <c r="X187" i="5" s="1"/>
  <c r="W245" i="5"/>
  <c r="X245" i="5" s="1"/>
  <c r="W241" i="5"/>
  <c r="X241" i="5" s="1"/>
  <c r="W238" i="5"/>
  <c r="X238" i="5" s="1"/>
  <c r="W119" i="5"/>
  <c r="X119" i="5" s="1"/>
  <c r="W276" i="5"/>
  <c r="Y276" i="5" s="1"/>
  <c r="W141" i="5"/>
  <c r="X141" i="5" s="1"/>
  <c r="W414" i="5"/>
  <c r="Y414" i="5" s="1"/>
  <c r="W208" i="5"/>
  <c r="X208" i="5" s="1"/>
  <c r="W538" i="5"/>
  <c r="Y538" i="5" s="1"/>
  <c r="W440" i="5"/>
  <c r="X440" i="5" s="1"/>
  <c r="W464" i="5"/>
  <c r="X464" i="5" s="1"/>
  <c r="W336" i="5"/>
  <c r="X336" i="5" s="1"/>
  <c r="W384" i="5"/>
  <c r="X384" i="5" s="1"/>
  <c r="W296" i="5"/>
  <c r="X296" i="5" s="1"/>
  <c r="W128" i="5"/>
  <c r="Y128" i="5" s="1"/>
  <c r="W40" i="5"/>
  <c r="Y40" i="5" s="1"/>
  <c r="W88" i="5"/>
  <c r="Y88" i="5" s="1"/>
  <c r="W79" i="5"/>
  <c r="Y79" i="5" s="1"/>
  <c r="W543" i="5"/>
  <c r="X543" i="5" s="1"/>
  <c r="W355" i="5"/>
  <c r="Y355" i="5" s="1"/>
  <c r="W444" i="5"/>
  <c r="X444" i="5" s="1"/>
  <c r="W153" i="5"/>
  <c r="X153" i="5" s="1"/>
  <c r="W25" i="5"/>
  <c r="Y25" i="5" s="1"/>
  <c r="W38" i="5"/>
  <c r="X38" i="5" s="1"/>
  <c r="W165" i="5"/>
  <c r="Y165" i="5" s="1"/>
  <c r="W175" i="5"/>
  <c r="X175" i="5" s="1"/>
  <c r="W542" i="5"/>
  <c r="X542" i="5" s="1"/>
  <c r="W143" i="5"/>
  <c r="X143" i="5" s="1"/>
  <c r="W225" i="5"/>
  <c r="X225" i="5" s="1"/>
  <c r="W99" i="5"/>
  <c r="X99" i="5" s="1"/>
  <c r="W500" i="5"/>
  <c r="X500" i="5" s="1"/>
  <c r="W247" i="5"/>
  <c r="Y247" i="5" s="1"/>
  <c r="W532" i="5"/>
  <c r="Y532" i="5" s="1"/>
  <c r="W92" i="5"/>
  <c r="X92" i="5" s="1"/>
  <c r="W229" i="5"/>
  <c r="Y229" i="5" s="1"/>
  <c r="W123" i="5"/>
  <c r="Y123" i="5" s="1"/>
  <c r="W457" i="5"/>
  <c r="Y457" i="5" s="1"/>
  <c r="W359" i="5"/>
  <c r="X359" i="5" s="1"/>
  <c r="W350" i="5"/>
  <c r="X350" i="5" s="1"/>
  <c r="W52" i="5"/>
  <c r="Y52" i="5" s="1"/>
  <c r="W349" i="5"/>
  <c r="Y349" i="5" s="1"/>
  <c r="W487" i="5"/>
  <c r="X487" i="5" s="1"/>
  <c r="W466" i="5"/>
  <c r="Y466" i="5" s="1"/>
  <c r="W469" i="5"/>
  <c r="X469" i="5" s="1"/>
  <c r="W94" i="5"/>
  <c r="Y94" i="5" s="1"/>
  <c r="W173" i="5"/>
  <c r="X173" i="5" s="1"/>
  <c r="W219" i="5"/>
  <c r="X219" i="5" s="1"/>
  <c r="W23" i="5"/>
  <c r="Y23" i="5" s="1"/>
  <c r="W169" i="5"/>
  <c r="X169" i="5" s="1"/>
  <c r="W279" i="5"/>
  <c r="X279" i="5" s="1"/>
  <c r="W486" i="5"/>
  <c r="X486" i="5" s="1"/>
  <c r="W19" i="5"/>
  <c r="Y19" i="5" s="1"/>
  <c r="W419" i="5"/>
  <c r="X419" i="5" s="1"/>
  <c r="W61" i="5"/>
  <c r="Y61" i="5" s="1"/>
  <c r="W90" i="5"/>
  <c r="X90" i="5" s="1"/>
  <c r="W426" i="5"/>
  <c r="Y426" i="5" s="1"/>
  <c r="W417" i="5"/>
  <c r="X417" i="5" s="1"/>
  <c r="W252" i="5"/>
  <c r="X252" i="5" s="1"/>
  <c r="W462" i="5"/>
  <c r="Y462" i="5" s="1"/>
  <c r="W211" i="5"/>
  <c r="X211" i="5" s="1"/>
  <c r="W162" i="5"/>
  <c r="X162" i="5" s="1"/>
  <c r="W205" i="5"/>
  <c r="W548" i="5"/>
  <c r="Y548" i="5" s="1"/>
  <c r="W147" i="5"/>
  <c r="W388" i="5"/>
  <c r="Y388" i="5" s="1"/>
  <c r="W249" i="5"/>
  <c r="Y249" i="5" s="1"/>
  <c r="W397" i="5"/>
  <c r="X397" i="5" s="1"/>
  <c r="W556" i="5"/>
  <c r="X556" i="5" s="1"/>
  <c r="W527" i="5"/>
  <c r="X527" i="5" s="1"/>
  <c r="W152" i="5"/>
  <c r="X152" i="5" s="1"/>
  <c r="W280" i="5"/>
  <c r="Y280" i="5" s="1"/>
  <c r="W488" i="5"/>
  <c r="Y488" i="5" s="1"/>
  <c r="W512" i="5"/>
  <c r="Y512" i="5" s="1"/>
  <c r="W360" i="5"/>
  <c r="X360" i="5" s="1"/>
  <c r="W416" i="5"/>
  <c r="X416" i="5" s="1"/>
  <c r="W240" i="5"/>
  <c r="Y240" i="5" s="1"/>
  <c r="W304" i="5"/>
  <c r="Y304" i="5" s="1"/>
  <c r="W8" i="5"/>
  <c r="X8" i="5" s="1"/>
  <c r="W317" i="5"/>
  <c r="X317" i="5" s="1"/>
  <c r="W30" i="5"/>
  <c r="X30" i="5" s="1"/>
  <c r="W277" i="5"/>
  <c r="X277" i="5" s="1"/>
  <c r="W385" i="5"/>
  <c r="X385" i="5" s="1"/>
  <c r="W150" i="5"/>
  <c r="X150" i="5" s="1"/>
  <c r="W250" i="5"/>
  <c r="X250" i="5" s="1"/>
  <c r="W142" i="5"/>
  <c r="X142" i="5" s="1"/>
  <c r="W182" i="5"/>
  <c r="X182" i="5" s="1"/>
  <c r="W133" i="5"/>
  <c r="Y133" i="5" s="1"/>
  <c r="W151" i="5"/>
  <c r="Y151" i="5" s="1"/>
  <c r="W519" i="5"/>
  <c r="Y519" i="5" s="1"/>
  <c r="W477" i="5"/>
  <c r="Y477" i="5" s="1"/>
  <c r="W171" i="5"/>
  <c r="W398" i="5"/>
  <c r="Y398" i="5" s="1"/>
  <c r="W489" i="5"/>
  <c r="W124" i="5"/>
  <c r="Y124" i="5" s="1"/>
  <c r="W485" i="5"/>
  <c r="X485" i="5" s="1"/>
  <c r="W541" i="5"/>
  <c r="Y541" i="5" s="1"/>
  <c r="W137" i="5"/>
  <c r="Y137" i="5" s="1"/>
  <c r="W354" i="5"/>
  <c r="Y354" i="5" s="1"/>
  <c r="W447" i="5"/>
  <c r="Y447" i="5" s="1"/>
  <c r="W295" i="5"/>
  <c r="Y295" i="5" s="1"/>
  <c r="W325" i="5"/>
  <c r="W33" i="5"/>
  <c r="X33" i="5" s="1"/>
  <c r="W357" i="5"/>
  <c r="X357" i="5" s="1"/>
  <c r="W380" i="5"/>
  <c r="X380" i="5" s="1"/>
  <c r="W85" i="5"/>
  <c r="Y85" i="5" s="1"/>
  <c r="W369" i="5"/>
  <c r="X369" i="5" s="1"/>
  <c r="W524" i="5"/>
  <c r="X524" i="5" s="1"/>
  <c r="W127" i="5"/>
  <c r="W180" i="5"/>
  <c r="X180" i="5" s="1"/>
  <c r="W547" i="5"/>
  <c r="W22" i="5"/>
  <c r="X22" i="5" s="1"/>
  <c r="W209" i="5"/>
  <c r="X209" i="5" s="1"/>
  <c r="W223" i="5"/>
  <c r="Y223" i="5" s="1"/>
  <c r="W558" i="5"/>
  <c r="X558" i="5" s="1"/>
  <c r="W316" i="5"/>
  <c r="Y316" i="5" s="1"/>
  <c r="W413" i="5"/>
  <c r="Y413" i="5" s="1"/>
  <c r="W57" i="5"/>
  <c r="X57" i="5" s="1"/>
  <c r="W421" i="5"/>
  <c r="X421" i="5" s="1"/>
  <c r="W463" i="5"/>
  <c r="X463" i="5" s="1"/>
  <c r="W540" i="5"/>
  <c r="Y540" i="5" s="1"/>
  <c r="W353" i="5"/>
  <c r="X353" i="5" s="1"/>
  <c r="W337" i="5"/>
  <c r="X337" i="5" s="1"/>
  <c r="W157" i="5"/>
  <c r="X157" i="5" s="1"/>
  <c r="W156" i="5"/>
  <c r="Y156" i="5" s="1"/>
  <c r="W437" i="5"/>
  <c r="X437" i="5" s="1"/>
  <c r="W31" i="5"/>
  <c r="Y31" i="5" s="1"/>
  <c r="W452" i="5"/>
  <c r="W234" i="5"/>
  <c r="Y234" i="5" s="1"/>
  <c r="W266" i="5"/>
  <c r="W370" i="5"/>
  <c r="W230" i="5"/>
  <c r="AQ134" i="4"/>
  <c r="W383" i="5"/>
  <c r="X383" i="5" s="1"/>
  <c r="O9" i="5"/>
  <c r="W533" i="5"/>
  <c r="Y533" i="5" s="1"/>
  <c r="W395" i="5"/>
  <c r="Y395" i="5" s="1"/>
  <c r="W199" i="5"/>
  <c r="X199" i="5" s="1"/>
  <c r="W215" i="5"/>
  <c r="Y215" i="5" s="1"/>
  <c r="W493" i="5"/>
  <c r="X493" i="5" s="1"/>
  <c r="W116" i="5"/>
  <c r="X116" i="5" s="1"/>
  <c r="W315" i="5"/>
  <c r="W345" i="5"/>
  <c r="W404" i="5"/>
  <c r="W499" i="5"/>
  <c r="AQ141" i="4"/>
  <c r="W363" i="5"/>
  <c r="W364" i="5"/>
  <c r="X364" i="5" s="1"/>
  <c r="W545" i="5"/>
  <c r="X545" i="5" s="1"/>
  <c r="W194" i="5"/>
  <c r="Y194" i="5" s="1"/>
  <c r="W131" i="5"/>
  <c r="X131" i="5" s="1"/>
  <c r="W188" i="5"/>
  <c r="X188" i="5" s="1"/>
  <c r="W555" i="5"/>
  <c r="X555" i="5" s="1"/>
  <c r="W41" i="5"/>
  <c r="X41" i="5" s="1"/>
  <c r="W202" i="5"/>
  <c r="Y202" i="5" s="1"/>
  <c r="W502" i="5"/>
  <c r="X502" i="5" s="1"/>
  <c r="W455" i="5"/>
  <c r="Y455" i="5" s="1"/>
  <c r="W514" i="5"/>
  <c r="X514" i="5" s="1"/>
  <c r="W495" i="5"/>
  <c r="Y495" i="5" s="1"/>
  <c r="W484" i="5"/>
  <c r="X484" i="5" s="1"/>
  <c r="W138" i="5"/>
  <c r="Y138" i="5" s="1"/>
  <c r="W155" i="5"/>
  <c r="Y155" i="5" s="1"/>
  <c r="W513" i="5"/>
  <c r="X513" i="5" s="1"/>
  <c r="W550" i="5"/>
  <c r="Y550" i="5" s="1"/>
  <c r="W87" i="5"/>
  <c r="X87" i="5" s="1"/>
  <c r="W482" i="5"/>
  <c r="Y482" i="5" s="1"/>
  <c r="W335" i="5"/>
  <c r="Y335" i="5" s="1"/>
  <c r="W427" i="5"/>
  <c r="AQ73" i="4"/>
  <c r="U96" i="4"/>
  <c r="W420" i="5"/>
  <c r="Y420" i="5" s="1"/>
  <c r="W203" i="5"/>
  <c r="Y203" i="5" s="1"/>
  <c r="W434" i="5"/>
  <c r="Y434" i="5" s="1"/>
  <c r="W339" i="5"/>
  <c r="X339" i="5" s="1"/>
  <c r="W83" i="5"/>
  <c r="X83" i="5" s="1"/>
  <c r="W146" i="5"/>
  <c r="Y146" i="5" s="1"/>
  <c r="W529" i="5"/>
  <c r="X529" i="5" s="1"/>
  <c r="W284" i="5"/>
  <c r="X284" i="5" s="1"/>
  <c r="W186" i="5"/>
  <c r="X186" i="5" s="1"/>
  <c r="W516" i="5"/>
  <c r="Y516" i="5" s="1"/>
  <c r="W103" i="5"/>
  <c r="W73" i="5"/>
  <c r="Y73" i="5" s="1"/>
  <c r="W509" i="5"/>
  <c r="Y509" i="5" s="1"/>
  <c r="W227" i="5"/>
  <c r="Y227" i="5" s="1"/>
  <c r="W374" i="5"/>
  <c r="W42" i="5"/>
  <c r="X42" i="5" s="1"/>
  <c r="W70" i="5"/>
  <c r="X70" i="5" s="1"/>
  <c r="W418" i="5"/>
  <c r="X418" i="5" s="1"/>
  <c r="W217" i="5"/>
  <c r="X217" i="5" s="1"/>
  <c r="W446" i="5"/>
  <c r="X446" i="5" s="1"/>
  <c r="W470" i="5"/>
  <c r="Y470" i="5" s="1"/>
  <c r="W379" i="5"/>
  <c r="X379" i="5" s="1"/>
  <c r="W118" i="5"/>
  <c r="K36" i="5"/>
  <c r="K37" i="5" s="1"/>
  <c r="Q47" i="5"/>
  <c r="Q25" i="5"/>
  <c r="Q50" i="5"/>
  <c r="Q54" i="5"/>
  <c r="Q68" i="5"/>
  <c r="Q73" i="5"/>
  <c r="Q86" i="5"/>
  <c r="Q44" i="5"/>
  <c r="Q108" i="5"/>
  <c r="Q137" i="5"/>
  <c r="Q100" i="5"/>
  <c r="Q157" i="5"/>
  <c r="Q124" i="5"/>
  <c r="Q150" i="5"/>
  <c r="Q174" i="5"/>
  <c r="Q175" i="5"/>
  <c r="Q178" i="5"/>
  <c r="Q199" i="5"/>
  <c r="Q107" i="5"/>
  <c r="Q221" i="5"/>
  <c r="Q195" i="5"/>
  <c r="Q226" i="5"/>
  <c r="Q203" i="5"/>
  <c r="Q284" i="5"/>
  <c r="Q323" i="5"/>
  <c r="Q229" i="5"/>
  <c r="Q285" i="5"/>
  <c r="Q310" i="5"/>
  <c r="Q220" i="5"/>
  <c r="Q274" i="5"/>
  <c r="Q297" i="5"/>
  <c r="Q341" i="5"/>
  <c r="Q289" i="5"/>
  <c r="Q372" i="5"/>
  <c r="Q407" i="5"/>
  <c r="Q439" i="5"/>
  <c r="Q308" i="5"/>
  <c r="Q363" i="5"/>
  <c r="Q402" i="5"/>
  <c r="Q327" i="5"/>
  <c r="Q377" i="5"/>
  <c r="Q412" i="5"/>
  <c r="Q387" i="5"/>
  <c r="Q462" i="5"/>
  <c r="Q485" i="5"/>
  <c r="Q523" i="5"/>
  <c r="Q369" i="5"/>
  <c r="Q446" i="5"/>
  <c r="Q486" i="5"/>
  <c r="Q510" i="5"/>
  <c r="Q444" i="5"/>
  <c r="Q494" i="5"/>
  <c r="Q535" i="5"/>
  <c r="Q553" i="5"/>
  <c r="Q498" i="5"/>
  <c r="Q550" i="5"/>
  <c r="Q558" i="5"/>
  <c r="Q544" i="5"/>
  <c r="Q516" i="5"/>
  <c r="Q49" i="5"/>
  <c r="Q29" i="5"/>
  <c r="Q52" i="5"/>
  <c r="Q55" i="5"/>
  <c r="Q69" i="5"/>
  <c r="Q71" i="5"/>
  <c r="Q95" i="5"/>
  <c r="Q82" i="5"/>
  <c r="Q116" i="5"/>
  <c r="Q142" i="5"/>
  <c r="Q114" i="5"/>
  <c r="Q159" i="5"/>
  <c r="Q126" i="5"/>
  <c r="Q155" i="5"/>
  <c r="Q188" i="5"/>
  <c r="Q179" i="5"/>
  <c r="Q182" i="5"/>
  <c r="Q201" i="5"/>
  <c r="Q177" i="5"/>
  <c r="Q225" i="5"/>
  <c r="Q204" i="5"/>
  <c r="Q231" i="5"/>
  <c r="Q213" i="5"/>
  <c r="Q291" i="5"/>
  <c r="Q325" i="5"/>
  <c r="Q247" i="5"/>
  <c r="Q290" i="5"/>
  <c r="Q321" i="5"/>
  <c r="Q223" i="5"/>
  <c r="Q275" i="5"/>
  <c r="Q309" i="5"/>
  <c r="Q346" i="5"/>
  <c r="Q295" i="5"/>
  <c r="Q375" i="5"/>
  <c r="Q409" i="5"/>
  <c r="Q441" i="5"/>
  <c r="Q314" i="5"/>
  <c r="Q365" i="5"/>
  <c r="Q404" i="5"/>
  <c r="Q338" i="5"/>
  <c r="Q394" i="5"/>
  <c r="Q415" i="5"/>
  <c r="Q390" i="5"/>
  <c r="Q463" i="5"/>
  <c r="Q500" i="5"/>
  <c r="Q524" i="5"/>
  <c r="Q410" i="5"/>
  <c r="Q452" i="5"/>
  <c r="Q487" i="5"/>
  <c r="Q514" i="5"/>
  <c r="Q445" i="5"/>
  <c r="Q497" i="5"/>
  <c r="Q536" i="5"/>
  <c r="Q559" i="5"/>
  <c r="Q508" i="5"/>
  <c r="Q364" i="5"/>
  <c r="Q560" i="5"/>
  <c r="Q556" i="5"/>
  <c r="Q531" i="5"/>
  <c r="Q21" i="5"/>
  <c r="Q20" i="5"/>
  <c r="Q30" i="5"/>
  <c r="Q27" i="5"/>
  <c r="Q58" i="5"/>
  <c r="Q65" i="5"/>
  <c r="Q75" i="5"/>
  <c r="Q85" i="5"/>
  <c r="Q94" i="5"/>
  <c r="Q117" i="5"/>
  <c r="Q151" i="5"/>
  <c r="Q125" i="5"/>
  <c r="Q83" i="5"/>
  <c r="Q127" i="5"/>
  <c r="Q156" i="5"/>
  <c r="Q130" i="5"/>
  <c r="Q180" i="5"/>
  <c r="Q202" i="5"/>
  <c r="Q235" i="5"/>
  <c r="Q186" i="5"/>
  <c r="Q228" i="5"/>
  <c r="Q205" i="5"/>
  <c r="Q234" i="5"/>
  <c r="Q227" i="5"/>
  <c r="Q292" i="5"/>
  <c r="Q331" i="5"/>
  <c r="Q253" i="5"/>
  <c r="Q293" i="5"/>
  <c r="Q326" i="5"/>
  <c r="Q239" i="5"/>
  <c r="Q277" i="5"/>
  <c r="Q315" i="5"/>
  <c r="Q348" i="5"/>
  <c r="Q306" i="5"/>
  <c r="Q380" i="5"/>
  <c r="Q411" i="5"/>
  <c r="Q442" i="5"/>
  <c r="Q340" i="5"/>
  <c r="Q373" i="5"/>
  <c r="Q413" i="5"/>
  <c r="Q347" i="5"/>
  <c r="Q395" i="5"/>
  <c r="Q421" i="5"/>
  <c r="Q393" i="5"/>
  <c r="Q468" i="5"/>
  <c r="Q501" i="5"/>
  <c r="Q527" i="5"/>
  <c r="Q420" i="5"/>
  <c r="Q457" i="5"/>
  <c r="Q489" i="5"/>
  <c r="Q520" i="5"/>
  <c r="Q449" i="5"/>
  <c r="Q502" i="5"/>
  <c r="Q537" i="5"/>
  <c r="Q268" i="5"/>
  <c r="Q515" i="5"/>
  <c r="Q430" i="5"/>
  <c r="Q557" i="5"/>
  <c r="Q403" i="5"/>
  <c r="Q539" i="5"/>
  <c r="Q26" i="5"/>
  <c r="Q22" i="5"/>
  <c r="Q33" i="5"/>
  <c r="Q51" i="5"/>
  <c r="Q60" i="5"/>
  <c r="Q70" i="5"/>
  <c r="Q77" i="5"/>
  <c r="Q87" i="5"/>
  <c r="Q103" i="5"/>
  <c r="Q119" i="5"/>
  <c r="Q153" i="5"/>
  <c r="Q138" i="5"/>
  <c r="Q102" i="5"/>
  <c r="Q129" i="5"/>
  <c r="Q92" i="5"/>
  <c r="Q145" i="5"/>
  <c r="Q183" i="5"/>
  <c r="Q207" i="5"/>
  <c r="Q236" i="5"/>
  <c r="Q189" i="5"/>
  <c r="Q230" i="5"/>
  <c r="Q206" i="5"/>
  <c r="Q237" i="5"/>
  <c r="Q246" i="5"/>
  <c r="Q299" i="5"/>
  <c r="Q333" i="5"/>
  <c r="Q255" i="5"/>
  <c r="Q298" i="5"/>
  <c r="Q330" i="5"/>
  <c r="Q243" i="5"/>
  <c r="Q278" i="5"/>
  <c r="Q317" i="5"/>
  <c r="Q350" i="5"/>
  <c r="Q332" i="5"/>
  <c r="Q385" i="5"/>
  <c r="Q418" i="5"/>
  <c r="Q245" i="5"/>
  <c r="Q343" i="5"/>
  <c r="Q379" i="5"/>
  <c r="Q414" i="5"/>
  <c r="Q351" i="5"/>
  <c r="Q397" i="5"/>
  <c r="Q318" i="5"/>
  <c r="Q433" i="5"/>
  <c r="Q471" i="5"/>
  <c r="Q503" i="5"/>
  <c r="Q252" i="5"/>
  <c r="Q422" i="5"/>
  <c r="Q467" i="5"/>
  <c r="Q490" i="5"/>
  <c r="Q197" i="5"/>
  <c r="Q450" i="5"/>
  <c r="Q509" i="5"/>
  <c r="Q541" i="5"/>
  <c r="Q447" i="5"/>
  <c r="Q532" i="5"/>
  <c r="Q443" i="5"/>
  <c r="Q459" i="5"/>
  <c r="Q427" i="5"/>
  <c r="Q540" i="5"/>
  <c r="Q31" i="5"/>
  <c r="Q23" i="5"/>
  <c r="Q35" i="5"/>
  <c r="Q59" i="5"/>
  <c r="Q63" i="5"/>
  <c r="Q74" i="5"/>
  <c r="Q79" i="5"/>
  <c r="Q90" i="5"/>
  <c r="Q106" i="5"/>
  <c r="Q123" i="5"/>
  <c r="Q154" i="5"/>
  <c r="Q140" i="5"/>
  <c r="Q105" i="5"/>
  <c r="Q134" i="5"/>
  <c r="Q115" i="5"/>
  <c r="Q161" i="5"/>
  <c r="Q185" i="5"/>
  <c r="Q181" i="5"/>
  <c r="Q238" i="5"/>
  <c r="Q191" i="5"/>
  <c r="Q233" i="5"/>
  <c r="Q209" i="5"/>
  <c r="Q242" i="5"/>
  <c r="Q258" i="5"/>
  <c r="Q302" i="5"/>
  <c r="Q196" i="5"/>
  <c r="Q259" i="5"/>
  <c r="Q300" i="5"/>
  <c r="Q141" i="5"/>
  <c r="Q260" i="5"/>
  <c r="Q283" i="5"/>
  <c r="Q319" i="5"/>
  <c r="Q357" i="5"/>
  <c r="Q334" i="5"/>
  <c r="Q386" i="5"/>
  <c r="Q423" i="5"/>
  <c r="Q249" i="5"/>
  <c r="Q349" i="5"/>
  <c r="Q382" i="5"/>
  <c r="Q417" i="5"/>
  <c r="Q358" i="5"/>
  <c r="Q398" i="5"/>
  <c r="Q359" i="5"/>
  <c r="Q453" i="5"/>
  <c r="Q473" i="5"/>
  <c r="Q511" i="5"/>
  <c r="Q301" i="5"/>
  <c r="Q425" i="5"/>
  <c r="Q469" i="5"/>
  <c r="Q492" i="5"/>
  <c r="Q342" i="5"/>
  <c r="Q465" i="5"/>
  <c r="Q518" i="5"/>
  <c r="Q542" i="5"/>
  <c r="Q451" i="5"/>
  <c r="Q547" i="5"/>
  <c r="Q460" i="5"/>
  <c r="Q466" i="5"/>
  <c r="Q429" i="5"/>
  <c r="Q19" i="5"/>
  <c r="Q42" i="5"/>
  <c r="Q36" i="5"/>
  <c r="Q41" i="5"/>
  <c r="Q67" i="5"/>
  <c r="Q57" i="5"/>
  <c r="Q81" i="5"/>
  <c r="Q91" i="5"/>
  <c r="Q110" i="5"/>
  <c r="Q89" i="5"/>
  <c r="Q133" i="5"/>
  <c r="Q53" i="5"/>
  <c r="Q146" i="5"/>
  <c r="Q118" i="5"/>
  <c r="Q147" i="5"/>
  <c r="Q163" i="5"/>
  <c r="Q166" i="5"/>
  <c r="Q164" i="5"/>
  <c r="Q193" i="5"/>
  <c r="Q250" i="5"/>
  <c r="Q210" i="5"/>
  <c r="Q165" i="5"/>
  <c r="Q217" i="5"/>
  <c r="Q101" i="5"/>
  <c r="Q269" i="5"/>
  <c r="Q313" i="5"/>
  <c r="Q215" i="5"/>
  <c r="Q271" i="5"/>
  <c r="Q305" i="5"/>
  <c r="Q173" i="5"/>
  <c r="Q265" i="5"/>
  <c r="Q287" i="5"/>
  <c r="Q329" i="5"/>
  <c r="Q257" i="5"/>
  <c r="Q356" i="5"/>
  <c r="Q391" i="5"/>
  <c r="Q431" i="5"/>
  <c r="Q279" i="5"/>
  <c r="Q354" i="5"/>
  <c r="Q388" i="5"/>
  <c r="Q263" i="5"/>
  <c r="Q370" i="5"/>
  <c r="Q405" i="5"/>
  <c r="Q378" i="5"/>
  <c r="Q455" i="5"/>
  <c r="Q475" i="5"/>
  <c r="Q519" i="5"/>
  <c r="Q337" i="5"/>
  <c r="Q435" i="5"/>
  <c r="Q477" i="5"/>
  <c r="Q495" i="5"/>
  <c r="Q426" i="5"/>
  <c r="Q479" i="5"/>
  <c r="Q529" i="5"/>
  <c r="Q545" i="5"/>
  <c r="Q481" i="5"/>
  <c r="Q552" i="5"/>
  <c r="Q522" i="5"/>
  <c r="Q525" i="5"/>
  <c r="Q499" i="5"/>
  <c r="O11" i="5"/>
  <c r="Q45" i="5"/>
  <c r="Q43" i="5"/>
  <c r="Q46" i="5"/>
  <c r="Q38" i="5"/>
  <c r="Q61" i="5"/>
  <c r="Q28" i="5"/>
  <c r="Q76" i="5"/>
  <c r="Q111" i="5"/>
  <c r="Q99" i="5"/>
  <c r="Q135" i="5"/>
  <c r="Q98" i="5"/>
  <c r="Q149" i="5"/>
  <c r="Q121" i="5"/>
  <c r="Q148" i="5"/>
  <c r="Q169" i="5"/>
  <c r="Q172" i="5"/>
  <c r="Q170" i="5"/>
  <c r="Q198" i="5"/>
  <c r="Q251" i="5"/>
  <c r="Q219" i="5"/>
  <c r="Q171" i="5"/>
  <c r="Q222" i="5"/>
  <c r="Q187" i="5"/>
  <c r="Q276" i="5"/>
  <c r="Q316" i="5"/>
  <c r="Q218" i="5"/>
  <c r="Q281" i="5"/>
  <c r="Q307" i="5"/>
  <c r="Q211" i="5"/>
  <c r="Q267" i="5"/>
  <c r="Q294" i="5"/>
  <c r="Q339" i="5"/>
  <c r="Q273" i="5"/>
  <c r="Q371" i="5"/>
  <c r="Q396" i="5"/>
  <c r="Q438" i="5"/>
  <c r="Q282" i="5"/>
  <c r="Q361" i="5"/>
  <c r="Q399" i="5"/>
  <c r="Q322" i="5"/>
  <c r="Q374" i="5"/>
  <c r="Q406" i="5"/>
  <c r="Q381" i="5"/>
  <c r="Q461" i="5"/>
  <c r="Q483" i="5"/>
  <c r="Q521" i="5"/>
  <c r="Q345" i="5"/>
  <c r="Q436" i="5"/>
  <c r="Q482" i="5"/>
  <c r="Q506" i="5"/>
  <c r="Q437" i="5"/>
  <c r="Q484" i="5"/>
  <c r="Q530" i="5"/>
  <c r="Q548" i="5"/>
  <c r="Q491" i="5"/>
  <c r="Q555" i="5"/>
  <c r="Q549" i="5"/>
  <c r="Q533" i="5"/>
  <c r="Q505" i="5"/>
  <c r="Q93" i="5"/>
  <c r="Q162" i="5"/>
  <c r="Q266" i="5"/>
  <c r="Q324" i="5"/>
  <c r="Q419" i="5"/>
  <c r="Q434" i="5"/>
  <c r="Q551" i="5"/>
  <c r="Q39" i="5"/>
  <c r="Q109" i="5"/>
  <c r="Q132" i="5"/>
  <c r="Q311" i="5"/>
  <c r="Q254" i="5"/>
  <c r="Q367" i="5"/>
  <c r="Q470" i="5"/>
  <c r="Q507" i="5"/>
  <c r="Q34" i="5"/>
  <c r="Q131" i="5"/>
  <c r="Q190" i="5"/>
  <c r="Q212" i="5"/>
  <c r="Q355" i="5"/>
  <c r="Q401" i="5"/>
  <c r="Q493" i="5"/>
  <c r="Q513" i="5"/>
  <c r="Q37" i="5"/>
  <c r="Q158" i="5"/>
  <c r="Q241" i="5"/>
  <c r="Q261" i="5"/>
  <c r="Q389" i="5"/>
  <c r="Q366" i="5"/>
  <c r="Q362" i="5"/>
  <c r="Q458" i="5"/>
  <c r="Q78" i="5"/>
  <c r="Q139" i="5"/>
  <c r="Q214" i="5"/>
  <c r="Q262" i="5"/>
  <c r="Q353" i="5"/>
  <c r="Q517" i="5"/>
  <c r="Q543" i="5"/>
  <c r="Q84" i="5"/>
  <c r="Q122" i="5"/>
  <c r="Q244" i="5"/>
  <c r="Q286" i="5"/>
  <c r="Q383" i="5"/>
  <c r="Q335" i="5"/>
  <c r="Q478" i="5"/>
  <c r="Q167" i="5"/>
  <c r="Q62" i="5"/>
  <c r="Q428" i="5"/>
  <c r="Q66" i="5"/>
  <c r="Q270" i="5"/>
  <c r="Q474" i="5"/>
  <c r="Q143" i="5"/>
  <c r="Q454" i="5"/>
  <c r="Q113" i="5"/>
  <c r="Q97" i="5"/>
  <c r="Q528" i="5"/>
  <c r="Q303" i="5"/>
  <c r="Q194" i="5"/>
  <c r="Q476" i="5"/>
  <c r="B37" i="5"/>
  <c r="AI152" i="5"/>
  <c r="AH403" i="5"/>
  <c r="AH459" i="5"/>
  <c r="AI248" i="5"/>
  <c r="AN355" i="5"/>
  <c r="AH200" i="5"/>
  <c r="AO283" i="5"/>
  <c r="AH347" i="5"/>
  <c r="AH519" i="5"/>
  <c r="AN272" i="5"/>
  <c r="AO272" i="5"/>
  <c r="U64" i="5"/>
  <c r="V64" i="5"/>
  <c r="AN80" i="5"/>
  <c r="AI441" i="5"/>
  <c r="AH441" i="5"/>
  <c r="AO284" i="5"/>
  <c r="AM193" i="5"/>
  <c r="AI19" i="5"/>
  <c r="AH19" i="5"/>
  <c r="U54" i="4"/>
  <c r="AS102" i="4"/>
  <c r="U108" i="4"/>
  <c r="AM59" i="5"/>
  <c r="T554" i="5"/>
  <c r="T546" i="5"/>
  <c r="AH534" i="5"/>
  <c r="AI534" i="5"/>
  <c r="T432" i="5"/>
  <c r="T448" i="5"/>
  <c r="T408" i="5"/>
  <c r="T280" i="5"/>
  <c r="T296" i="5"/>
  <c r="AH136" i="5"/>
  <c r="AI136" i="5"/>
  <c r="AM104" i="5"/>
  <c r="AI361" i="5"/>
  <c r="AH361" i="5"/>
  <c r="AO179" i="5"/>
  <c r="AN276" i="5"/>
  <c r="AN457" i="5"/>
  <c r="AN385" i="5"/>
  <c r="AM379" i="5"/>
  <c r="AM307" i="5"/>
  <c r="AM91" i="5"/>
  <c r="AM292" i="5"/>
  <c r="AM20" i="5"/>
  <c r="T38" i="5"/>
  <c r="T34" i="5"/>
  <c r="T70" i="5"/>
  <c r="T55" i="5"/>
  <c r="T89" i="5"/>
  <c r="T105" i="5"/>
  <c r="T87" i="5"/>
  <c r="T84" i="5"/>
  <c r="T43" i="5"/>
  <c r="T33" i="5"/>
  <c r="T66" i="5"/>
  <c r="T25" i="5"/>
  <c r="T83" i="5"/>
  <c r="T121" i="5"/>
  <c r="T26" i="5"/>
  <c r="T47" i="5"/>
  <c r="T27" i="5"/>
  <c r="T41" i="5"/>
  <c r="T94" i="5"/>
  <c r="T117" i="5"/>
  <c r="T52" i="5"/>
  <c r="T59" i="5"/>
  <c r="T74" i="5"/>
  <c r="T98" i="5"/>
  <c r="T91" i="5"/>
  <c r="T139" i="5"/>
  <c r="T39" i="5"/>
  <c r="T35" i="5"/>
  <c r="T95" i="5"/>
  <c r="T155" i="5"/>
  <c r="T151" i="5"/>
  <c r="T187" i="5"/>
  <c r="T154" i="5"/>
  <c r="T201" i="5"/>
  <c r="T211" i="5"/>
  <c r="T159" i="5"/>
  <c r="T243" i="5"/>
  <c r="T225" i="5"/>
  <c r="T249" i="5"/>
  <c r="T274" i="5"/>
  <c r="T318" i="5"/>
  <c r="T250" i="5"/>
  <c r="T292" i="5"/>
  <c r="T259" i="5"/>
  <c r="T290" i="5"/>
  <c r="T310" i="5"/>
  <c r="T354" i="5"/>
  <c r="T362" i="5"/>
  <c r="T393" i="5"/>
  <c r="T317" i="5"/>
  <c r="T385" i="5"/>
  <c r="T162" i="5"/>
  <c r="T340" i="5"/>
  <c r="T379" i="5"/>
  <c r="T451" i="5"/>
  <c r="T494" i="5"/>
  <c r="T525" i="5"/>
  <c r="T431" i="5"/>
  <c r="T517" i="5"/>
  <c r="T374" i="5"/>
  <c r="T425" i="5"/>
  <c r="T461" i="5"/>
  <c r="T487" i="5"/>
  <c r="T531" i="5"/>
  <c r="T346" i="5"/>
  <c r="T22" i="5"/>
  <c r="T63" i="5"/>
  <c r="T107" i="5"/>
  <c r="T106" i="5"/>
  <c r="T156" i="5"/>
  <c r="T125" i="5"/>
  <c r="T118" i="5"/>
  <c r="T161" i="5"/>
  <c r="T204" i="5"/>
  <c r="T215" i="5"/>
  <c r="T166" i="5"/>
  <c r="T174" i="5"/>
  <c r="T230" i="5"/>
  <c r="T252" i="5"/>
  <c r="T279" i="5"/>
  <c r="T322" i="5"/>
  <c r="T251" i="5"/>
  <c r="T299" i="5"/>
  <c r="T331" i="5"/>
  <c r="T261" i="5"/>
  <c r="T293" i="5"/>
  <c r="T356" i="5"/>
  <c r="T315" i="5"/>
  <c r="T364" i="5"/>
  <c r="T429" i="5"/>
  <c r="T341" i="5"/>
  <c r="T386" i="5"/>
  <c r="T195" i="5"/>
  <c r="T348" i="5"/>
  <c r="T382" i="5"/>
  <c r="T411" i="5"/>
  <c r="T428" i="5"/>
  <c r="T458" i="5"/>
  <c r="T499" i="5"/>
  <c r="T532" i="5"/>
  <c r="T438" i="5"/>
  <c r="T468" i="5"/>
  <c r="T498" i="5"/>
  <c r="T519" i="5"/>
  <c r="T377" i="5"/>
  <c r="T434" i="5"/>
  <c r="T463" i="5"/>
  <c r="T489" i="5"/>
  <c r="T540" i="5"/>
  <c r="T544" i="5"/>
  <c r="T514" i="5"/>
  <c r="T555" i="5"/>
  <c r="T549" i="5"/>
  <c r="T479" i="5"/>
  <c r="T36" i="5"/>
  <c r="T76" i="5"/>
  <c r="T85" i="5"/>
  <c r="T109" i="5"/>
  <c r="T114" i="5"/>
  <c r="T134" i="5"/>
  <c r="T133" i="5"/>
  <c r="T172" i="5"/>
  <c r="T206" i="5"/>
  <c r="T223" i="5"/>
  <c r="T199" i="5"/>
  <c r="T180" i="5"/>
  <c r="T233" i="5"/>
  <c r="T254" i="5"/>
  <c r="T282" i="5"/>
  <c r="T327" i="5"/>
  <c r="T258" i="5"/>
  <c r="T302" i="5"/>
  <c r="T321" i="5"/>
  <c r="T262" i="5"/>
  <c r="T329" i="5"/>
  <c r="T366" i="5"/>
  <c r="T403" i="5"/>
  <c r="T433" i="5"/>
  <c r="T369" i="5"/>
  <c r="T389" i="5"/>
  <c r="T228" i="5"/>
  <c r="T353" i="5"/>
  <c r="T383" i="5"/>
  <c r="T414" i="5"/>
  <c r="T430" i="5"/>
  <c r="T460" i="5"/>
  <c r="T505" i="5"/>
  <c r="T533" i="5"/>
  <c r="T442" i="5"/>
  <c r="T471" i="5"/>
  <c r="O10" i="5"/>
  <c r="AJ10" i="5" s="1"/>
  <c r="T53" i="5"/>
  <c r="T57" i="5"/>
  <c r="T101" i="5"/>
  <c r="T115" i="5"/>
  <c r="T149" i="5"/>
  <c r="T140" i="5"/>
  <c r="T183" i="5"/>
  <c r="T188" i="5"/>
  <c r="T212" i="5"/>
  <c r="T191" i="5"/>
  <c r="T235" i="5"/>
  <c r="T260" i="5"/>
  <c r="T289" i="5"/>
  <c r="T332" i="5"/>
  <c r="T266" i="5"/>
  <c r="T311" i="5"/>
  <c r="T226" i="5"/>
  <c r="T268" i="5"/>
  <c r="T298" i="5"/>
  <c r="T326" i="5"/>
  <c r="T267" i="5"/>
  <c r="T337" i="5"/>
  <c r="T367" i="5"/>
  <c r="T405" i="5"/>
  <c r="T436" i="5"/>
  <c r="T371" i="5"/>
  <c r="T391" i="5"/>
  <c r="T355" i="5"/>
  <c r="T388" i="5"/>
  <c r="T417" i="5"/>
  <c r="T466" i="5"/>
  <c r="T507" i="5"/>
  <c r="T537" i="5"/>
  <c r="T453" i="5"/>
  <c r="T474" i="5"/>
  <c r="T501" i="5"/>
  <c r="T522" i="5"/>
  <c r="T398" i="5"/>
  <c r="T439" i="5"/>
  <c r="T470" i="5"/>
  <c r="T493" i="5"/>
  <c r="T557" i="5"/>
  <c r="T465" i="5"/>
  <c r="T545" i="5"/>
  <c r="T406" i="5"/>
  <c r="T524" i="5"/>
  <c r="T559" i="5"/>
  <c r="T502" i="5"/>
  <c r="T61" i="5"/>
  <c r="T37" i="5"/>
  <c r="T123" i="5"/>
  <c r="T119" i="5"/>
  <c r="T171" i="5"/>
  <c r="T169" i="5"/>
  <c r="T185" i="5"/>
  <c r="T196" i="5"/>
  <c r="T227" i="5"/>
  <c r="T222" i="5"/>
  <c r="T236" i="5"/>
  <c r="T263" i="5"/>
  <c r="T295" i="5"/>
  <c r="T334" i="5"/>
  <c r="T276" i="5"/>
  <c r="T313" i="5"/>
  <c r="T231" i="5"/>
  <c r="T269" i="5"/>
  <c r="T300" i="5"/>
  <c r="T330" i="5"/>
  <c r="T342" i="5"/>
  <c r="T378" i="5"/>
  <c r="T410" i="5"/>
  <c r="T437" i="5"/>
  <c r="T372" i="5"/>
  <c r="T396" i="5"/>
  <c r="T275" i="5"/>
  <c r="T361" i="5"/>
  <c r="T287" i="5"/>
  <c r="T441" i="5"/>
  <c r="T508" i="5"/>
  <c r="T339" i="5"/>
  <c r="T454" i="5"/>
  <c r="T475" i="5"/>
  <c r="T503" i="5"/>
  <c r="T333" i="5"/>
  <c r="T401" i="5"/>
  <c r="T446" i="5"/>
  <c r="T473" i="5"/>
  <c r="T495" i="5"/>
  <c r="T560" i="5"/>
  <c r="T484" i="5"/>
  <c r="T412" i="5"/>
  <c r="T527" i="5"/>
  <c r="T449" i="5"/>
  <c r="T397" i="5"/>
  <c r="T509" i="5"/>
  <c r="T30" i="5"/>
  <c r="T92" i="5"/>
  <c r="T93" i="5"/>
  <c r="T131" i="5"/>
  <c r="T130" i="5"/>
  <c r="T173" i="5"/>
  <c r="T170" i="5"/>
  <c r="T186" i="5"/>
  <c r="T203" i="5"/>
  <c r="T239" i="5"/>
  <c r="T229" i="5"/>
  <c r="T207" i="5"/>
  <c r="T265" i="5"/>
  <c r="T301" i="5"/>
  <c r="T135" i="5"/>
  <c r="T284" i="5"/>
  <c r="T316" i="5"/>
  <c r="T246" i="5"/>
  <c r="T271" i="5"/>
  <c r="T303" i="5"/>
  <c r="T335" i="5"/>
  <c r="T283" i="5"/>
  <c r="T345" i="5"/>
  <c r="T381" i="5"/>
  <c r="T415" i="5"/>
  <c r="T214" i="5"/>
  <c r="T375" i="5"/>
  <c r="T407" i="5"/>
  <c r="T294" i="5"/>
  <c r="T363" i="5"/>
  <c r="T399" i="5"/>
  <c r="T324" i="5"/>
  <c r="T443" i="5"/>
  <c r="T478" i="5"/>
  <c r="T513" i="5"/>
  <c r="T347" i="5"/>
  <c r="T358" i="5"/>
  <c r="T413" i="5"/>
  <c r="T452" i="5"/>
  <c r="T477" i="5"/>
  <c r="T506" i="5"/>
  <c r="T529" i="5"/>
  <c r="T548" i="5"/>
  <c r="T426" i="5"/>
  <c r="T543" i="5"/>
  <c r="T528" i="5"/>
  <c r="T423" i="5"/>
  <c r="T520" i="5"/>
  <c r="T28" i="5"/>
  <c r="T50" i="5"/>
  <c r="T82" i="5"/>
  <c r="T126" i="5"/>
  <c r="T137" i="5"/>
  <c r="T138" i="5"/>
  <c r="T177" i="5"/>
  <c r="T79" i="5"/>
  <c r="T190" i="5"/>
  <c r="T205" i="5"/>
  <c r="T245" i="5"/>
  <c r="T210" i="5"/>
  <c r="T241" i="5"/>
  <c r="T270" i="5"/>
  <c r="T306" i="5"/>
  <c r="T237" i="5"/>
  <c r="T323" i="5"/>
  <c r="T253" i="5"/>
  <c r="T281" i="5"/>
  <c r="T305" i="5"/>
  <c r="T343" i="5"/>
  <c r="T286" i="5"/>
  <c r="T350" i="5"/>
  <c r="T387" i="5"/>
  <c r="T420" i="5"/>
  <c r="T247" i="5"/>
  <c r="T409" i="5"/>
  <c r="T319" i="5"/>
  <c r="T365" i="5"/>
  <c r="T402" i="5"/>
  <c r="T357" i="5"/>
  <c r="T447" i="5"/>
  <c r="T481" i="5"/>
  <c r="T515" i="5"/>
  <c r="T351" i="5"/>
  <c r="T459" i="5"/>
  <c r="T483" i="5"/>
  <c r="T511" i="5"/>
  <c r="T455" i="5"/>
  <c r="T482" i="5"/>
  <c r="T510" i="5"/>
  <c r="T338" i="5"/>
  <c r="T550" i="5"/>
  <c r="T450" i="5"/>
  <c r="T551" i="5"/>
  <c r="T530" i="5"/>
  <c r="T445" i="5"/>
  <c r="T523" i="5"/>
  <c r="T44" i="5"/>
  <c r="T194" i="5"/>
  <c r="T244" i="5"/>
  <c r="T359" i="5"/>
  <c r="T404" i="5"/>
  <c r="T500" i="5"/>
  <c r="T467" i="5"/>
  <c r="T539" i="5"/>
  <c r="T552" i="5"/>
  <c r="T67" i="5"/>
  <c r="T291" i="5"/>
  <c r="T390" i="5"/>
  <c r="T370" i="5"/>
  <c r="T486" i="5"/>
  <c r="T542" i="5"/>
  <c r="T553" i="5"/>
  <c r="T19" i="5"/>
  <c r="T69" i="5"/>
  <c r="T150" i="5"/>
  <c r="T325" i="5"/>
  <c r="T421" i="5"/>
  <c r="T521" i="5"/>
  <c r="T492" i="5"/>
  <c r="T419" i="5"/>
  <c r="T141" i="5"/>
  <c r="T242" i="5"/>
  <c r="T297" i="5"/>
  <c r="T491" i="5"/>
  <c r="T541" i="5"/>
  <c r="T535" i="5"/>
  <c r="T142" i="5"/>
  <c r="T221" i="5"/>
  <c r="T285" i="5"/>
  <c r="T380" i="5"/>
  <c r="T516" i="5"/>
  <c r="T395" i="5"/>
  <c r="T556" i="5"/>
  <c r="T394" i="5"/>
  <c r="T547" i="5"/>
  <c r="T146" i="5"/>
  <c r="T307" i="5"/>
  <c r="T418" i="5"/>
  <c r="T427" i="5"/>
  <c r="T422" i="5"/>
  <c r="T490" i="5"/>
  <c r="T558" i="5"/>
  <c r="T181" i="5"/>
  <c r="T273" i="5"/>
  <c r="T349" i="5"/>
  <c r="T462" i="5"/>
  <c r="T435" i="5"/>
  <c r="T444" i="5"/>
  <c r="T497" i="5"/>
  <c r="T469" i="5"/>
  <c r="T457" i="5"/>
  <c r="T536" i="5"/>
  <c r="T518" i="5"/>
  <c r="T100" i="5"/>
  <c r="T476" i="5"/>
  <c r="T314" i="5"/>
  <c r="T309" i="5"/>
  <c r="T373" i="5"/>
  <c r="T485" i="5"/>
  <c r="AM35" i="5"/>
  <c r="U8" i="4"/>
  <c r="AS8" i="4"/>
  <c r="AM99" i="5"/>
  <c r="AH554" i="5"/>
  <c r="AI554" i="5"/>
  <c r="AM448" i="5"/>
  <c r="T464" i="5"/>
  <c r="T480" i="5"/>
  <c r="T328" i="5"/>
  <c r="T344" i="5"/>
  <c r="T376" i="5"/>
  <c r="T392" i="5"/>
  <c r="AI408" i="5"/>
  <c r="AH408" i="5"/>
  <c r="T248" i="5"/>
  <c r="T264" i="5"/>
  <c r="AM280" i="5"/>
  <c r="AI120" i="5"/>
  <c r="AH120" i="5"/>
  <c r="T160" i="5"/>
  <c r="T24" i="5"/>
  <c r="U176" i="5"/>
  <c r="V176" i="5"/>
  <c r="AH40" i="5"/>
  <c r="AI40" i="5"/>
  <c r="AH546" i="5"/>
  <c r="AM387" i="5"/>
  <c r="AM123" i="5"/>
  <c r="AM107" i="5"/>
  <c r="AM300" i="5"/>
  <c r="AI28" i="5"/>
  <c r="AH28" i="5"/>
  <c r="AM177" i="5"/>
  <c r="AM57" i="5"/>
  <c r="AS66" i="4"/>
  <c r="AM464" i="5"/>
  <c r="AM480" i="5"/>
  <c r="T496" i="5"/>
  <c r="T512" i="5"/>
  <c r="AI344" i="5"/>
  <c r="AH344" i="5"/>
  <c r="T360" i="5"/>
  <c r="AI376" i="5"/>
  <c r="AH376" i="5"/>
  <c r="AM408" i="5"/>
  <c r="T224" i="5"/>
  <c r="AM248" i="5"/>
  <c r="AM120" i="5"/>
  <c r="AM184" i="5"/>
  <c r="T208" i="5"/>
  <c r="T88" i="5"/>
  <c r="AJ451" i="5"/>
  <c r="AL451" i="5" s="1"/>
  <c r="AJ465" i="5"/>
  <c r="AK465" i="5" s="1"/>
  <c r="AN475" i="5"/>
  <c r="AS91" i="4"/>
  <c r="AI547" i="5"/>
  <c r="AH547" i="5"/>
  <c r="AO137" i="5"/>
  <c r="AN137" i="5"/>
  <c r="AM308" i="5"/>
  <c r="AH36" i="5"/>
  <c r="AI36" i="5"/>
  <c r="AM121" i="5"/>
  <c r="AS22" i="4"/>
  <c r="T526" i="5"/>
  <c r="AM424" i="5"/>
  <c r="T440" i="5"/>
  <c r="AI480" i="5"/>
  <c r="AH480" i="5"/>
  <c r="AM344" i="5"/>
  <c r="AM376" i="5"/>
  <c r="T304" i="5"/>
  <c r="AM144" i="5"/>
  <c r="AI208" i="5"/>
  <c r="AH208" i="5"/>
  <c r="T32" i="5"/>
  <c r="T112" i="5"/>
  <c r="AS128" i="4"/>
  <c r="AN527" i="5"/>
  <c r="AO527" i="5"/>
  <c r="AI513" i="5"/>
  <c r="AH513" i="5"/>
  <c r="AO233" i="5"/>
  <c r="AN233" i="5"/>
  <c r="AO139" i="5"/>
  <c r="AN139" i="5"/>
  <c r="AI319" i="5"/>
  <c r="AH319" i="5"/>
  <c r="AH44" i="5"/>
  <c r="AI44" i="5"/>
  <c r="U135" i="4"/>
  <c r="V71" i="4"/>
  <c r="AI538" i="5"/>
  <c r="AH538" i="5"/>
  <c r="T424" i="5"/>
  <c r="AI440" i="5"/>
  <c r="AH440" i="5"/>
  <c r="T456" i="5"/>
  <c r="T336" i="5"/>
  <c r="T400" i="5"/>
  <c r="T272" i="5"/>
  <c r="AH288" i="5"/>
  <c r="AI288" i="5"/>
  <c r="AM208" i="5"/>
  <c r="T56" i="5"/>
  <c r="AN39" i="5"/>
  <c r="AO472" i="5"/>
  <c r="AN472" i="5"/>
  <c r="AM535" i="5"/>
  <c r="AM337" i="5"/>
  <c r="AM257" i="5"/>
  <c r="AM153" i="5"/>
  <c r="AM227" i="5"/>
  <c r="AM203" i="5"/>
  <c r="AM236" i="5"/>
  <c r="AM148" i="5"/>
  <c r="AM60" i="5"/>
  <c r="AH375" i="5"/>
  <c r="AI375" i="5"/>
  <c r="U47" i="4"/>
  <c r="AS86" i="4"/>
  <c r="AS148" i="4"/>
  <c r="U126" i="4"/>
  <c r="T538" i="5"/>
  <c r="AI424" i="5"/>
  <c r="AH424" i="5"/>
  <c r="AM440" i="5"/>
  <c r="AH456" i="5"/>
  <c r="AI456" i="5"/>
  <c r="T472" i="5"/>
  <c r="T504" i="5"/>
  <c r="AH320" i="5"/>
  <c r="AI320" i="5"/>
  <c r="AM336" i="5"/>
  <c r="T352" i="5"/>
  <c r="T368" i="5"/>
  <c r="AI400" i="5"/>
  <c r="AH400" i="5"/>
  <c r="T416" i="5"/>
  <c r="T232" i="5"/>
  <c r="T288" i="5"/>
  <c r="T192" i="5"/>
  <c r="T80" i="5"/>
  <c r="S96" i="5"/>
  <c r="R96" i="5"/>
  <c r="AI425" i="5"/>
  <c r="AH425" i="5"/>
  <c r="AN25" i="5"/>
  <c r="AN27" i="5"/>
  <c r="AO27" i="5"/>
  <c r="AS68" i="4"/>
  <c r="AM36" i="5"/>
  <c r="AM67" i="5"/>
  <c r="AM75" i="5"/>
  <c r="AM74" i="5"/>
  <c r="AM100" i="5"/>
  <c r="AM124" i="5"/>
  <c r="AM166" i="5"/>
  <c r="AM201" i="5"/>
  <c r="AM196" i="5"/>
  <c r="AM215" i="5"/>
  <c r="AM291" i="5"/>
  <c r="AM317" i="5"/>
  <c r="AM295" i="5"/>
  <c r="AM357" i="5"/>
  <c r="AM411" i="5"/>
  <c r="AM22" i="5"/>
  <c r="AM21" i="5"/>
  <c r="AM102" i="5"/>
  <c r="AM117" i="5"/>
  <c r="AM170" i="5"/>
  <c r="AM165" i="5"/>
  <c r="AM214" i="5"/>
  <c r="AM237" i="5"/>
  <c r="AM303" i="5"/>
  <c r="AM321" i="5"/>
  <c r="AM309" i="5"/>
  <c r="AM218" i="5"/>
  <c r="AM414" i="5"/>
  <c r="AM375" i="5"/>
  <c r="AM461" i="5"/>
  <c r="AM381" i="5"/>
  <c r="AM545" i="5"/>
  <c r="AM553" i="5"/>
  <c r="AM541" i="5"/>
  <c r="AM37" i="5"/>
  <c r="AM52" i="5"/>
  <c r="AM76" i="5"/>
  <c r="AM86" i="5"/>
  <c r="AM101" i="5"/>
  <c r="AM180" i="5"/>
  <c r="AM190" i="5"/>
  <c r="AM217" i="5"/>
  <c r="AM191" i="5"/>
  <c r="AM323" i="5"/>
  <c r="AM188" i="5"/>
  <c r="AM310" i="5"/>
  <c r="AM316" i="5"/>
  <c r="AM428" i="5"/>
  <c r="AM377" i="5"/>
  <c r="AM333" i="5"/>
  <c r="AM515" i="5"/>
  <c r="AM468" i="5"/>
  <c r="AM405" i="5"/>
  <c r="AM489" i="5"/>
  <c r="AM229" i="5"/>
  <c r="AM558" i="5"/>
  <c r="AM542" i="5"/>
  <c r="AM30" i="5"/>
  <c r="AM63" i="5"/>
  <c r="AM77" i="5"/>
  <c r="AM94" i="5"/>
  <c r="AM126" i="5"/>
  <c r="AM134" i="5"/>
  <c r="AM213" i="5"/>
  <c r="AM226" i="5"/>
  <c r="AM327" i="5"/>
  <c r="AM241" i="5"/>
  <c r="AM315" i="5"/>
  <c r="AM319" i="5"/>
  <c r="AM386" i="5"/>
  <c r="AM531" i="5"/>
  <c r="AM470" i="5"/>
  <c r="AM441" i="5"/>
  <c r="AM494" i="5"/>
  <c r="AM297" i="5"/>
  <c r="AM559" i="5"/>
  <c r="AM44" i="5"/>
  <c r="AM55" i="5"/>
  <c r="AM84" i="5"/>
  <c r="AM138" i="5"/>
  <c r="AM143" i="5"/>
  <c r="AM242" i="5"/>
  <c r="AM246" i="5"/>
  <c r="AM247" i="5"/>
  <c r="AM329" i="5"/>
  <c r="AM250" i="5"/>
  <c r="AM399" i="5"/>
  <c r="AM342" i="5"/>
  <c r="AM401" i="5"/>
  <c r="AM382" i="5"/>
  <c r="AM443" i="5"/>
  <c r="AM502" i="5"/>
  <c r="AM425" i="5"/>
  <c r="AM524" i="5"/>
  <c r="AM46" i="5"/>
  <c r="AM54" i="5"/>
  <c r="AM146" i="5"/>
  <c r="AM158" i="5"/>
  <c r="AM230" i="5"/>
  <c r="AM244" i="5"/>
  <c r="AM266" i="5"/>
  <c r="AM269" i="5"/>
  <c r="AM255" i="5"/>
  <c r="AM330" i="5"/>
  <c r="AM373" i="5"/>
  <c r="AM277" i="5"/>
  <c r="AM402" i="5"/>
  <c r="AM364" i="5"/>
  <c r="AM452" i="5"/>
  <c r="AM391" i="5"/>
  <c r="AM507" i="5"/>
  <c r="AM453" i="5"/>
  <c r="AM503" i="5"/>
  <c r="AM513" i="5"/>
  <c r="AM544" i="5"/>
  <c r="AM483" i="5"/>
  <c r="AM90" i="5"/>
  <c r="AM154" i="5"/>
  <c r="AM181" i="5"/>
  <c r="AM183" i="5"/>
  <c r="AM271" i="5"/>
  <c r="AM268" i="5"/>
  <c r="AM339" i="5"/>
  <c r="AM345" i="5"/>
  <c r="AM417" i="5"/>
  <c r="AM366" i="5"/>
  <c r="AM460" i="5"/>
  <c r="AM403" i="5"/>
  <c r="AM511" i="5"/>
  <c r="AM466" i="5"/>
  <c r="AM509" i="5"/>
  <c r="AM517" i="5"/>
  <c r="AM407" i="5"/>
  <c r="AM19" i="5"/>
  <c r="AM151" i="5"/>
  <c r="AM275" i="5"/>
  <c r="AM398" i="5"/>
  <c r="AM479" i="5"/>
  <c r="AM119" i="5"/>
  <c r="AM351" i="5"/>
  <c r="AM471" i="5"/>
  <c r="AM522" i="5"/>
  <c r="AM150" i="5"/>
  <c r="AM393" i="5"/>
  <c r="AM478" i="5"/>
  <c r="AM523" i="5"/>
  <c r="AM187" i="5"/>
  <c r="AM350" i="5"/>
  <c r="AM429" i="5"/>
  <c r="AM529" i="5"/>
  <c r="AM34" i="5"/>
  <c r="AM182" i="5"/>
  <c r="AM361" i="5"/>
  <c r="AM439" i="5"/>
  <c r="AM548" i="5"/>
  <c r="AM202" i="5"/>
  <c r="AM245" i="5"/>
  <c r="AM516" i="5"/>
  <c r="AM78" i="5"/>
  <c r="AM279" i="5"/>
  <c r="AM254" i="5"/>
  <c r="AM353" i="5"/>
  <c r="AM501" i="5"/>
  <c r="AM95" i="5"/>
  <c r="AM290" i="5"/>
  <c r="AM378" i="5"/>
  <c r="AM469" i="5"/>
  <c r="AS134" i="4"/>
  <c r="V68" i="4"/>
  <c r="AM456" i="5"/>
  <c r="AH472" i="5"/>
  <c r="AI472" i="5"/>
  <c r="T488" i="5"/>
  <c r="AI504" i="5"/>
  <c r="AH504" i="5"/>
  <c r="T320" i="5"/>
  <c r="AI352" i="5"/>
  <c r="AH352" i="5"/>
  <c r="AM368" i="5"/>
  <c r="T384" i="5"/>
  <c r="AM400" i="5"/>
  <c r="AI416" i="5"/>
  <c r="AH416" i="5"/>
  <c r="T256" i="5"/>
  <c r="AM288" i="5"/>
  <c r="T312" i="5"/>
  <c r="T152" i="5"/>
  <c r="AM216" i="5"/>
  <c r="AH80" i="5"/>
  <c r="AI80" i="5"/>
  <c r="T8" i="5"/>
  <c r="B206" i="2"/>
  <c r="B255" i="2"/>
  <c r="AL64" i="5"/>
  <c r="AK64" i="5"/>
  <c r="U51" i="5"/>
  <c r="V51" i="5"/>
  <c r="AN155" i="5"/>
  <c r="AO155" i="5"/>
  <c r="AI217" i="5"/>
  <c r="AH217" i="5"/>
  <c r="AI299" i="5"/>
  <c r="AH299" i="5"/>
  <c r="AJ195" i="5"/>
  <c r="AJ519" i="5"/>
  <c r="AI305" i="5"/>
  <c r="AH305" i="5"/>
  <c r="AJ171" i="5"/>
  <c r="AJ457" i="5"/>
  <c r="AJ131" i="5"/>
  <c r="AJ59" i="5"/>
  <c r="AJ115" i="5"/>
  <c r="AO436" i="5"/>
  <c r="AI461" i="5"/>
  <c r="AH461" i="5"/>
  <c r="AI294" i="5"/>
  <c r="AH294" i="5"/>
  <c r="AH117" i="5"/>
  <c r="AI117" i="5"/>
  <c r="AI162" i="5"/>
  <c r="AH162" i="5"/>
  <c r="AH37" i="5"/>
  <c r="AI37" i="5"/>
  <c r="AI530" i="5"/>
  <c r="AH530" i="5"/>
  <c r="AI421" i="5"/>
  <c r="AH421" i="5"/>
  <c r="AI221" i="5"/>
  <c r="AH221" i="5"/>
  <c r="AH34" i="5"/>
  <c r="AI34" i="5"/>
  <c r="AI458" i="5"/>
  <c r="AH458" i="5"/>
  <c r="AH226" i="5"/>
  <c r="AI226" i="5"/>
  <c r="AI234" i="5"/>
  <c r="AH234" i="5"/>
  <c r="AH126" i="5"/>
  <c r="AI126" i="5"/>
  <c r="AH506" i="5"/>
  <c r="AI506" i="5"/>
  <c r="AI372" i="5"/>
  <c r="AH372" i="5"/>
  <c r="AI285" i="5"/>
  <c r="AH285" i="5"/>
  <c r="AH140" i="5"/>
  <c r="AI140" i="5"/>
  <c r="AI449" i="5"/>
  <c r="AH449" i="5"/>
  <c r="AI474" i="5"/>
  <c r="AH474" i="5"/>
  <c r="AI321" i="5"/>
  <c r="AH321" i="5"/>
  <c r="AI316" i="5"/>
  <c r="AH316" i="5"/>
  <c r="AI164" i="5"/>
  <c r="AH164" i="5"/>
  <c r="AI89" i="5"/>
  <c r="AH89" i="5"/>
  <c r="AO506" i="5"/>
  <c r="AN262" i="5"/>
  <c r="AO262" i="5"/>
  <c r="AN109" i="5"/>
  <c r="AN349" i="5"/>
  <c r="AO349" i="5"/>
  <c r="AN261" i="5"/>
  <c r="AO261" i="5"/>
  <c r="AN372" i="5"/>
  <c r="AO372" i="5"/>
  <c r="AN162" i="5"/>
  <c r="AM12" i="5"/>
  <c r="Q12" i="5"/>
  <c r="T12" i="5"/>
  <c r="AO477" i="5"/>
  <c r="AO314" i="5"/>
  <c r="AN314" i="5"/>
  <c r="AN125" i="5"/>
  <c r="AN505" i="5"/>
  <c r="AO505" i="5"/>
  <c r="AO249" i="5"/>
  <c r="AN249" i="5"/>
  <c r="AN221" i="5"/>
  <c r="AN70" i="5"/>
  <c r="AO70" i="5"/>
  <c r="U152" i="4"/>
  <c r="U11" i="4"/>
  <c r="U72" i="4"/>
  <c r="AS81" i="4"/>
  <c r="AJ533" i="5"/>
  <c r="AH439" i="5"/>
  <c r="AI439" i="5"/>
  <c r="AI463" i="5"/>
  <c r="AH463" i="5"/>
  <c r="AJ351" i="5"/>
  <c r="AJ383" i="5"/>
  <c r="AO223" i="5"/>
  <c r="AN223" i="5"/>
  <c r="AJ263" i="5"/>
  <c r="AN311" i="5"/>
  <c r="AO135" i="5"/>
  <c r="AN135" i="5"/>
  <c r="AJ159" i="5"/>
  <c r="AJ191" i="5"/>
  <c r="AI55" i="5"/>
  <c r="AH55" i="5"/>
  <c r="AJ95" i="5"/>
  <c r="U129" i="5"/>
  <c r="U20" i="5"/>
  <c r="V20" i="5"/>
  <c r="U164" i="5"/>
  <c r="V164" i="5"/>
  <c r="U113" i="5"/>
  <c r="V113" i="5"/>
  <c r="B51" i="2"/>
  <c r="B32" i="2" s="1"/>
  <c r="AO538" i="5"/>
  <c r="AN538" i="5"/>
  <c r="AJ448" i="5"/>
  <c r="AJ504" i="5"/>
  <c r="AJ376" i="5"/>
  <c r="AO224" i="5"/>
  <c r="AN224" i="5"/>
  <c r="AH256" i="5"/>
  <c r="AI256" i="5"/>
  <c r="AH296" i="5"/>
  <c r="AI296" i="5"/>
  <c r="AJ120" i="5"/>
  <c r="AN152" i="5"/>
  <c r="AJ176" i="5"/>
  <c r="AI216" i="5"/>
  <c r="AH216" i="5"/>
  <c r="U40" i="5"/>
  <c r="AJ112" i="5"/>
  <c r="AJ369" i="5"/>
  <c r="AJ281" i="5"/>
  <c r="AI473" i="5"/>
  <c r="AH473" i="5"/>
  <c r="AH363" i="5"/>
  <c r="AI363" i="5"/>
  <c r="AH99" i="5"/>
  <c r="AI99" i="5"/>
  <c r="AH259" i="5"/>
  <c r="AI259" i="5"/>
  <c r="AK379" i="5"/>
  <c r="AL379" i="5"/>
  <c r="AI451" i="5"/>
  <c r="AH451" i="5"/>
  <c r="AK169" i="5"/>
  <c r="AL169" i="5"/>
  <c r="AK539" i="5"/>
  <c r="AL539" i="5"/>
  <c r="AI81" i="5"/>
  <c r="AH81" i="5"/>
  <c r="AH499" i="5"/>
  <c r="AI499" i="5"/>
  <c r="AJ203" i="5"/>
  <c r="AJ395" i="5"/>
  <c r="AJ155" i="5"/>
  <c r="AN476" i="5"/>
  <c r="AO476" i="5"/>
  <c r="AI389" i="5"/>
  <c r="AH389" i="5"/>
  <c r="AI466" i="5"/>
  <c r="AH466" i="5"/>
  <c r="AH278" i="5"/>
  <c r="AI278" i="5"/>
  <c r="AI149" i="5"/>
  <c r="AH149" i="5"/>
  <c r="AH30" i="5"/>
  <c r="AI30" i="5"/>
  <c r="AI494" i="5"/>
  <c r="AH494" i="5"/>
  <c r="AI397" i="5"/>
  <c r="AH397" i="5"/>
  <c r="AH190" i="5"/>
  <c r="AI190" i="5"/>
  <c r="AI29" i="5"/>
  <c r="AH29" i="5"/>
  <c r="AI422" i="5"/>
  <c r="AH422" i="5"/>
  <c r="AI420" i="5"/>
  <c r="AH420" i="5"/>
  <c r="AH154" i="5"/>
  <c r="AI154" i="5"/>
  <c r="AH77" i="5"/>
  <c r="AI77" i="5"/>
  <c r="AI477" i="5"/>
  <c r="AH477" i="5"/>
  <c r="AI326" i="5"/>
  <c r="AH326" i="5"/>
  <c r="AH244" i="5"/>
  <c r="AI244" i="5"/>
  <c r="AH158" i="5"/>
  <c r="AI158" i="5"/>
  <c r="AI523" i="5"/>
  <c r="AH523" i="5"/>
  <c r="AH516" i="5"/>
  <c r="AI516" i="5"/>
  <c r="AI436" i="5"/>
  <c r="AH436" i="5"/>
  <c r="AH286" i="5"/>
  <c r="AI286" i="5"/>
  <c r="AI218" i="5"/>
  <c r="AH218" i="5"/>
  <c r="AH121" i="5"/>
  <c r="AI121" i="5"/>
  <c r="AO325" i="5"/>
  <c r="AO318" i="5"/>
  <c r="AN318" i="5"/>
  <c r="AO98" i="5"/>
  <c r="AN518" i="5"/>
  <c r="AO518" i="5"/>
  <c r="AN390" i="5"/>
  <c r="AO390" i="5"/>
  <c r="AN210" i="5"/>
  <c r="AO210" i="5"/>
  <c r="AO528" i="5"/>
  <c r="AO142" i="5"/>
  <c r="AN142" i="5"/>
  <c r="AO552" i="5"/>
  <c r="AN552" i="5"/>
  <c r="AN234" i="5"/>
  <c r="AO234" i="5"/>
  <c r="AN85" i="5"/>
  <c r="AO85" i="5"/>
  <c r="AN492" i="5"/>
  <c r="AO492" i="5"/>
  <c r="AN340" i="5"/>
  <c r="AO340" i="5"/>
  <c r="AN197" i="5"/>
  <c r="AO197" i="5"/>
  <c r="AN68" i="5"/>
  <c r="AO68" i="5"/>
  <c r="U120" i="4"/>
  <c r="AS129" i="4"/>
  <c r="AS53" i="4"/>
  <c r="U60" i="4"/>
  <c r="AS43" i="4"/>
  <c r="AH553" i="5"/>
  <c r="AI553" i="5"/>
  <c r="AN533" i="5"/>
  <c r="AJ447" i="5"/>
  <c r="AJ479" i="5"/>
  <c r="AI419" i="5"/>
  <c r="AH419" i="5"/>
  <c r="AI351" i="5"/>
  <c r="AH351" i="5"/>
  <c r="AI383" i="5"/>
  <c r="AH383" i="5"/>
  <c r="AJ231" i="5"/>
  <c r="AH135" i="5"/>
  <c r="AI135" i="5"/>
  <c r="AJ199" i="5"/>
  <c r="AI31" i="5"/>
  <c r="AH31" i="5"/>
  <c r="U71" i="5"/>
  <c r="V71" i="5"/>
  <c r="V153" i="5"/>
  <c r="U153" i="5"/>
  <c r="U132" i="5"/>
  <c r="V132" i="5"/>
  <c r="V308" i="5"/>
  <c r="U308" i="5"/>
  <c r="V165" i="5"/>
  <c r="U165" i="5"/>
  <c r="U42" i="5"/>
  <c r="V42" i="5"/>
  <c r="V189" i="5"/>
  <c r="U189" i="5"/>
  <c r="U90" i="5"/>
  <c r="V90" i="5"/>
  <c r="AO546" i="5"/>
  <c r="AN546" i="5"/>
  <c r="AH448" i="5"/>
  <c r="AI448" i="5"/>
  <c r="AJ512" i="5"/>
  <c r="AJ384" i="5"/>
  <c r="AO232" i="5"/>
  <c r="AJ256" i="5"/>
  <c r="AH128" i="5"/>
  <c r="AI128" i="5"/>
  <c r="AH160" i="5"/>
  <c r="AI160" i="5"/>
  <c r="U184" i="5"/>
  <c r="V184" i="5"/>
  <c r="U216" i="5"/>
  <c r="V216" i="5"/>
  <c r="AO40" i="5"/>
  <c r="AN40" i="5"/>
  <c r="U96" i="5"/>
  <c r="V96" i="5"/>
  <c r="AH112" i="5"/>
  <c r="AI112" i="5"/>
  <c r="AN519" i="5"/>
  <c r="AO519" i="5"/>
  <c r="AN83" i="5"/>
  <c r="AO83" i="5"/>
  <c r="AN299" i="5"/>
  <c r="AO299" i="5"/>
  <c r="AI91" i="5"/>
  <c r="AH91" i="5"/>
  <c r="AK51" i="5"/>
  <c r="AL51" i="5"/>
  <c r="AN281" i="5"/>
  <c r="AO281" i="5"/>
  <c r="AH291" i="5"/>
  <c r="AI291" i="5"/>
  <c r="AJ26" i="5"/>
  <c r="AJ33" i="5"/>
  <c r="AJ34" i="5"/>
  <c r="AJ36" i="5"/>
  <c r="AJ65" i="5"/>
  <c r="AJ58" i="5"/>
  <c r="AJ70" i="5"/>
  <c r="AJ141" i="5"/>
  <c r="AJ102" i="5"/>
  <c r="AJ188" i="5"/>
  <c r="AJ148" i="5"/>
  <c r="AJ214" i="5"/>
  <c r="AJ241" i="5"/>
  <c r="AJ253" i="5"/>
  <c r="AJ294" i="5"/>
  <c r="AJ329" i="5"/>
  <c r="AJ251" i="5"/>
  <c r="AJ213" i="5"/>
  <c r="AJ270" i="5"/>
  <c r="AJ297" i="5"/>
  <c r="AJ246" i="5"/>
  <c r="AJ345" i="5"/>
  <c r="AJ370" i="5"/>
  <c r="AJ38" i="5"/>
  <c r="AJ68" i="5"/>
  <c r="AJ101" i="5"/>
  <c r="AJ138" i="5"/>
  <c r="AJ116" i="5"/>
  <c r="AJ133" i="5"/>
  <c r="AJ180" i="5"/>
  <c r="AJ242" i="5"/>
  <c r="AJ234" i="5"/>
  <c r="AJ189" i="5"/>
  <c r="AJ218" i="5"/>
  <c r="AJ298" i="5"/>
  <c r="AJ330" i="5"/>
  <c r="AJ254" i="5"/>
  <c r="AJ314" i="5"/>
  <c r="AJ221" i="5"/>
  <c r="AJ333" i="5"/>
  <c r="AJ346" i="5"/>
  <c r="AJ342" i="5"/>
  <c r="AJ378" i="5"/>
  <c r="AJ420" i="5"/>
  <c r="AJ396" i="5"/>
  <c r="AJ338" i="5"/>
  <c r="AJ446" i="5"/>
  <c r="AJ506" i="5"/>
  <c r="AJ502" i="5"/>
  <c r="AJ517" i="5"/>
  <c r="AJ542" i="5"/>
  <c r="AJ550" i="5"/>
  <c r="AJ528" i="5"/>
  <c r="AJ548" i="5"/>
  <c r="AJ486" i="5"/>
  <c r="AJ44" i="5"/>
  <c r="AJ42" i="5"/>
  <c r="AJ50" i="5"/>
  <c r="AJ74" i="5"/>
  <c r="AJ78" i="5"/>
  <c r="AJ109" i="5"/>
  <c r="AJ100" i="5"/>
  <c r="AJ118" i="5"/>
  <c r="AJ149" i="5"/>
  <c r="AJ110" i="5"/>
  <c r="AJ186" i="5"/>
  <c r="AJ165" i="5"/>
  <c r="AJ194" i="5"/>
  <c r="AJ222" i="5"/>
  <c r="AJ193" i="5"/>
  <c r="AJ269" i="5"/>
  <c r="AJ305" i="5"/>
  <c r="AJ177" i="5"/>
  <c r="AJ257" i="5"/>
  <c r="AJ293" i="5"/>
  <c r="AJ250" i="5"/>
  <c r="AJ277" i="5"/>
  <c r="AJ308" i="5"/>
  <c r="AJ340" i="5"/>
  <c r="AJ356" i="5"/>
  <c r="AJ412" i="5"/>
  <c r="AJ349" i="5"/>
  <c r="AJ394" i="5"/>
  <c r="AJ401" i="5"/>
  <c r="AJ385" i="5"/>
  <c r="AJ461" i="5"/>
  <c r="AJ482" i="5"/>
  <c r="AJ418" i="5"/>
  <c r="AJ508" i="5"/>
  <c r="AJ417" i="5"/>
  <c r="AJ442" i="5"/>
  <c r="AJ527" i="5"/>
  <c r="AJ547" i="5"/>
  <c r="AJ556" i="5"/>
  <c r="AJ535" i="5"/>
  <c r="AJ497" i="5"/>
  <c r="AJ46" i="5"/>
  <c r="AJ45" i="5"/>
  <c r="AJ54" i="5"/>
  <c r="AJ84" i="5"/>
  <c r="AJ130" i="5"/>
  <c r="AJ157" i="5"/>
  <c r="AJ114" i="5"/>
  <c r="AJ164" i="5"/>
  <c r="AJ156" i="5"/>
  <c r="AJ170" i="5"/>
  <c r="AJ205" i="5"/>
  <c r="AJ226" i="5"/>
  <c r="AJ197" i="5"/>
  <c r="AJ198" i="5"/>
  <c r="AJ310" i="5"/>
  <c r="AJ322" i="5"/>
  <c r="AJ252" i="5"/>
  <c r="AJ282" i="5"/>
  <c r="AJ357" i="5"/>
  <c r="AJ380" i="5"/>
  <c r="AJ413" i="5"/>
  <c r="AJ354" i="5"/>
  <c r="AJ300" i="5"/>
  <c r="AJ381" i="5"/>
  <c r="AJ428" i="5"/>
  <c r="AJ484" i="5"/>
  <c r="AJ454" i="5"/>
  <c r="AJ509" i="5"/>
  <c r="AJ421" i="5"/>
  <c r="AJ445" i="5"/>
  <c r="AJ485" i="5"/>
  <c r="AJ552" i="5"/>
  <c r="AJ452" i="5"/>
  <c r="AJ22" i="5"/>
  <c r="AJ20" i="5"/>
  <c r="AJ21" i="5"/>
  <c r="AJ52" i="5"/>
  <c r="AJ61" i="5"/>
  <c r="AJ60" i="5"/>
  <c r="AJ85" i="5"/>
  <c r="AJ125" i="5"/>
  <c r="AJ158" i="5"/>
  <c r="AJ132" i="5"/>
  <c r="AJ150" i="5"/>
  <c r="AJ166" i="5"/>
  <c r="AJ173" i="5"/>
  <c r="AJ228" i="5"/>
  <c r="AJ172" i="5"/>
  <c r="AJ236" i="5"/>
  <c r="AJ278" i="5"/>
  <c r="AJ317" i="5"/>
  <c r="AJ230" i="5"/>
  <c r="AJ301" i="5"/>
  <c r="AJ324" i="5"/>
  <c r="AJ258" i="5"/>
  <c r="AJ286" i="5"/>
  <c r="AJ316" i="5"/>
  <c r="AJ274" i="5"/>
  <c r="AJ358" i="5"/>
  <c r="AJ398" i="5"/>
  <c r="AJ382" i="5"/>
  <c r="AJ405" i="5"/>
  <c r="AJ429" i="5"/>
  <c r="AJ492" i="5"/>
  <c r="AJ523" i="5"/>
  <c r="AJ436" i="5"/>
  <c r="AJ510" i="5"/>
  <c r="AJ422" i="5"/>
  <c r="AJ490" i="5"/>
  <c r="AJ558" i="5"/>
  <c r="AJ462" i="5"/>
  <c r="AJ514" i="5"/>
  <c r="AJ28" i="5"/>
  <c r="AJ57" i="5"/>
  <c r="AJ82" i="5"/>
  <c r="AJ106" i="5"/>
  <c r="AJ134" i="5"/>
  <c r="AJ140" i="5"/>
  <c r="AJ179" i="5"/>
  <c r="AJ204" i="5"/>
  <c r="AJ237" i="5"/>
  <c r="AJ232" i="5"/>
  <c r="AJ321" i="5"/>
  <c r="AJ287" i="5"/>
  <c r="AJ267" i="5"/>
  <c r="AJ355" i="5"/>
  <c r="AJ377" i="5"/>
  <c r="AJ434" i="5"/>
  <c r="AJ388" i="5"/>
  <c r="AJ372" i="5"/>
  <c r="AJ352" i="5"/>
  <c r="AJ480" i="5"/>
  <c r="AJ373" i="5"/>
  <c r="AJ481" i="5"/>
  <c r="AJ266" i="5"/>
  <c r="AJ437" i="5"/>
  <c r="AJ526" i="5"/>
  <c r="AJ404" i="5"/>
  <c r="AJ530" i="5"/>
  <c r="AJ498" i="5"/>
  <c r="AJ19" i="5"/>
  <c r="O13" i="5"/>
  <c r="AJ23" i="5"/>
  <c r="AJ39" i="5"/>
  <c r="AJ62" i="5"/>
  <c r="AJ93" i="5"/>
  <c r="AJ117" i="5"/>
  <c r="AJ136" i="5"/>
  <c r="AJ151" i="5"/>
  <c r="AJ137" i="5"/>
  <c r="AJ25" i="5"/>
  <c r="AJ63" i="5"/>
  <c r="AJ75" i="5"/>
  <c r="AJ94" i="5"/>
  <c r="AJ126" i="5"/>
  <c r="AJ145" i="5"/>
  <c r="AJ154" i="5"/>
  <c r="AJ182" i="5"/>
  <c r="AJ219" i="5"/>
  <c r="AJ181" i="5"/>
  <c r="AJ243" i="5"/>
  <c r="AJ331" i="5"/>
  <c r="AJ309" i="5"/>
  <c r="AJ289" i="5"/>
  <c r="AJ296" i="5"/>
  <c r="AJ390" i="5"/>
  <c r="AJ336" i="5"/>
  <c r="AJ406" i="5"/>
  <c r="AJ387" i="5"/>
  <c r="AJ440" i="5"/>
  <c r="AJ500" i="5"/>
  <c r="AJ441" i="5"/>
  <c r="AJ494" i="5"/>
  <c r="AJ393" i="5"/>
  <c r="AJ458" i="5"/>
  <c r="AJ538" i="5"/>
  <c r="AJ532" i="5"/>
  <c r="AJ551" i="5"/>
  <c r="AJ555" i="5"/>
  <c r="AJ37" i="5"/>
  <c r="AJ69" i="5"/>
  <c r="AJ76" i="5"/>
  <c r="AJ104" i="5"/>
  <c r="AJ128" i="5"/>
  <c r="AJ80" i="5"/>
  <c r="AJ139" i="5"/>
  <c r="AJ184" i="5"/>
  <c r="AJ235" i="5"/>
  <c r="AJ192" i="5"/>
  <c r="AJ247" i="5"/>
  <c r="AJ248" i="5"/>
  <c r="AJ315" i="5"/>
  <c r="AJ292" i="5"/>
  <c r="AJ337" i="5"/>
  <c r="AJ392" i="5"/>
  <c r="AJ341" i="5"/>
  <c r="AJ415" i="5"/>
  <c r="AJ391" i="5"/>
  <c r="AJ444" i="5"/>
  <c r="AJ505" i="5"/>
  <c r="AJ443" i="5"/>
  <c r="AJ499" i="5"/>
  <c r="AJ402" i="5"/>
  <c r="AJ460" i="5"/>
  <c r="AJ540" i="5"/>
  <c r="AJ549" i="5"/>
  <c r="AJ554" i="5"/>
  <c r="AJ557" i="5"/>
  <c r="AJ29" i="5"/>
  <c r="AJ53" i="5"/>
  <c r="AJ77" i="5"/>
  <c r="AJ90" i="5"/>
  <c r="AJ146" i="5"/>
  <c r="AJ86" i="5"/>
  <c r="AJ168" i="5"/>
  <c r="AJ196" i="5"/>
  <c r="AJ238" i="5"/>
  <c r="AJ206" i="5"/>
  <c r="AJ262" i="5"/>
  <c r="AJ249" i="5"/>
  <c r="AJ332" i="5"/>
  <c r="AJ304" i="5"/>
  <c r="AJ344" i="5"/>
  <c r="AJ408" i="5"/>
  <c r="AJ348" i="5"/>
  <c r="AJ259" i="5"/>
  <c r="AJ397" i="5"/>
  <c r="AJ453" i="5"/>
  <c r="AJ511" i="5"/>
  <c r="AJ450" i="5"/>
  <c r="AJ503" i="5"/>
  <c r="AJ414" i="5"/>
  <c r="AJ472" i="5"/>
  <c r="AJ544" i="5"/>
  <c r="AJ559" i="5"/>
  <c r="AJ560" i="5"/>
  <c r="AJ474" i="5"/>
  <c r="AJ30" i="5"/>
  <c r="AJ66" i="5"/>
  <c r="AJ73" i="5"/>
  <c r="AJ92" i="5"/>
  <c r="AJ161" i="5"/>
  <c r="AJ108" i="5"/>
  <c r="AJ174" i="5"/>
  <c r="AJ124" i="5"/>
  <c r="AJ244" i="5"/>
  <c r="AJ209" i="5"/>
  <c r="AJ284" i="5"/>
  <c r="AJ255" i="5"/>
  <c r="AJ190" i="5"/>
  <c r="AJ319" i="5"/>
  <c r="AJ350" i="5"/>
  <c r="AJ419" i="5"/>
  <c r="AJ364" i="5"/>
  <c r="AJ323" i="5"/>
  <c r="AJ407" i="5"/>
  <c r="AJ470" i="5"/>
  <c r="AJ537" i="5"/>
  <c r="AJ463" i="5"/>
  <c r="AJ513" i="5"/>
  <c r="AJ424" i="5"/>
  <c r="AJ491" i="5"/>
  <c r="AJ261" i="5"/>
  <c r="AJ468" i="5"/>
  <c r="AJ471" i="5"/>
  <c r="AJ529" i="5"/>
  <c r="AJ41" i="5"/>
  <c r="AJ27" i="5"/>
  <c r="AJ91" i="5"/>
  <c r="AJ98" i="5"/>
  <c r="AJ87" i="5"/>
  <c r="AJ123" i="5"/>
  <c r="AJ185" i="5"/>
  <c r="AJ142" i="5"/>
  <c r="AJ202" i="5"/>
  <c r="AJ220" i="5"/>
  <c r="AJ290" i="5"/>
  <c r="AJ268" i="5"/>
  <c r="AJ245" i="5"/>
  <c r="AJ325" i="5"/>
  <c r="AJ363" i="5"/>
  <c r="AJ426" i="5"/>
  <c r="AJ366" i="5"/>
  <c r="AJ343" i="5"/>
  <c r="AJ409" i="5"/>
  <c r="AJ476" i="5"/>
  <c r="AJ288" i="5"/>
  <c r="AJ466" i="5"/>
  <c r="AJ518" i="5"/>
  <c r="AJ425" i="5"/>
  <c r="AJ496" i="5"/>
  <c r="AJ279" i="5"/>
  <c r="AJ516" i="5"/>
  <c r="AJ475" i="5"/>
  <c r="AJ543" i="5"/>
  <c r="AJ24" i="5"/>
  <c r="AJ49" i="5"/>
  <c r="AJ67" i="5"/>
  <c r="AJ103" i="5"/>
  <c r="AJ122" i="5"/>
  <c r="AJ129" i="5"/>
  <c r="AJ178" i="5"/>
  <c r="AJ162" i="5"/>
  <c r="AJ215" i="5"/>
  <c r="AJ229" i="5"/>
  <c r="AJ302" i="5"/>
  <c r="AJ275" i="5"/>
  <c r="AJ260" i="5"/>
  <c r="AJ334" i="5"/>
  <c r="AJ365" i="5"/>
  <c r="AJ427" i="5"/>
  <c r="AJ374" i="5"/>
  <c r="AJ362" i="5"/>
  <c r="AJ410" i="5"/>
  <c r="AJ477" i="5"/>
  <c r="AJ361" i="5"/>
  <c r="AJ469" i="5"/>
  <c r="AJ520" i="5"/>
  <c r="AJ433" i="5"/>
  <c r="AJ501" i="5"/>
  <c r="AJ285" i="5"/>
  <c r="AJ522" i="5"/>
  <c r="AJ478" i="5"/>
  <c r="AJ545" i="5"/>
  <c r="AJ212" i="5"/>
  <c r="AJ493" i="5"/>
  <c r="AJ389" i="5"/>
  <c r="AJ375" i="5"/>
  <c r="AJ210" i="5"/>
  <c r="AJ318" i="5"/>
  <c r="AJ456" i="5"/>
  <c r="AJ175" i="5"/>
  <c r="AJ400" i="5"/>
  <c r="AJ536" i="5"/>
  <c r="AJ208" i="5"/>
  <c r="AJ386" i="5"/>
  <c r="AJ524" i="5"/>
  <c r="AJ326" i="5"/>
  <c r="AJ430" i="5"/>
  <c r="AJ546" i="5"/>
  <c r="AJ306" i="5"/>
  <c r="AJ495" i="5"/>
  <c r="AJ531" i="5"/>
  <c r="AJ276" i="5"/>
  <c r="AJ438" i="5"/>
  <c r="AH337" i="5"/>
  <c r="AI337" i="5"/>
  <c r="AJ233" i="5"/>
  <c r="AJ507" i="5"/>
  <c r="AO243" i="5"/>
  <c r="AN243" i="5"/>
  <c r="AI97" i="5"/>
  <c r="AH97" i="5"/>
  <c r="AH497" i="5"/>
  <c r="AI497" i="5"/>
  <c r="AJ201" i="5"/>
  <c r="AJ435" i="5"/>
  <c r="AJ163" i="5"/>
  <c r="AO500" i="5"/>
  <c r="AN500" i="5"/>
  <c r="B47" i="2"/>
  <c r="B28" i="2" s="1"/>
  <c r="AI552" i="5"/>
  <c r="AH552" i="5"/>
  <c r="AH404" i="5"/>
  <c r="AI404" i="5"/>
  <c r="AI260" i="5"/>
  <c r="AH260" i="5"/>
  <c r="AI178" i="5"/>
  <c r="AH178" i="5"/>
  <c r="AH558" i="5"/>
  <c r="AI558" i="5"/>
  <c r="AI412" i="5"/>
  <c r="AH412" i="5"/>
  <c r="AI341" i="5"/>
  <c r="AH341" i="5"/>
  <c r="AI182" i="5"/>
  <c r="AH182" i="5"/>
  <c r="AH556" i="5"/>
  <c r="AI556" i="5"/>
  <c r="AI522" i="5"/>
  <c r="AH522" i="5"/>
  <c r="AI394" i="5"/>
  <c r="AH394" i="5"/>
  <c r="AH189" i="5"/>
  <c r="AI189" i="5"/>
  <c r="AI22" i="5"/>
  <c r="AH22" i="5"/>
  <c r="AI452" i="5"/>
  <c r="AH452" i="5"/>
  <c r="AI437" i="5"/>
  <c r="AH437" i="5"/>
  <c r="AH258" i="5"/>
  <c r="AI258" i="5"/>
  <c r="AH134" i="5"/>
  <c r="AI134" i="5"/>
  <c r="AI426" i="5"/>
  <c r="AH426" i="5"/>
  <c r="AI370" i="5"/>
  <c r="AH370" i="5"/>
  <c r="AH378" i="5"/>
  <c r="AI378" i="5"/>
  <c r="AI250" i="5"/>
  <c r="AH250" i="5"/>
  <c r="AI133" i="5"/>
  <c r="AH133" i="5"/>
  <c r="AI93" i="5"/>
  <c r="AH93" i="5"/>
  <c r="AO445" i="5"/>
  <c r="AN445" i="5"/>
  <c r="AN362" i="5"/>
  <c r="AO362" i="5"/>
  <c r="AO285" i="5"/>
  <c r="AN285" i="5"/>
  <c r="AN69" i="5"/>
  <c r="AO69" i="5"/>
  <c r="AN365" i="5"/>
  <c r="AO365" i="5"/>
  <c r="AO510" i="5"/>
  <c r="AN510" i="5"/>
  <c r="AN490" i="5"/>
  <c r="AO490" i="5"/>
  <c r="AO294" i="5"/>
  <c r="AN294" i="5"/>
  <c r="AN442" i="5"/>
  <c r="AO178" i="5"/>
  <c r="AN178" i="5"/>
  <c r="AO380" i="5"/>
  <c r="AN380" i="5"/>
  <c r="AN278" i="5"/>
  <c r="AO278" i="5"/>
  <c r="AO50" i="5"/>
  <c r="AN50" i="5"/>
  <c r="AS144" i="4"/>
  <c r="U144" i="4"/>
  <c r="U131" i="4"/>
  <c r="AS41" i="4"/>
  <c r="V41" i="4"/>
  <c r="U41" i="4"/>
  <c r="AJ553" i="5"/>
  <c r="AI533" i="5"/>
  <c r="AH533" i="5"/>
  <c r="AO487" i="5"/>
  <c r="AN487" i="5"/>
  <c r="AN419" i="5"/>
  <c r="AO419" i="5"/>
  <c r="AJ359" i="5"/>
  <c r="AO231" i="5"/>
  <c r="AN231" i="5"/>
  <c r="AJ271" i="5"/>
  <c r="AI219" i="5"/>
  <c r="AH219" i="5"/>
  <c r="AJ135" i="5"/>
  <c r="AJ167" i="5"/>
  <c r="U31" i="5"/>
  <c r="V31" i="5"/>
  <c r="AN71" i="5"/>
  <c r="AO71" i="5"/>
  <c r="AN103" i="5"/>
  <c r="U217" i="5"/>
  <c r="V217" i="5"/>
  <c r="U110" i="5"/>
  <c r="V110" i="5"/>
  <c r="U277" i="5"/>
  <c r="V277" i="5"/>
  <c r="U124" i="5"/>
  <c r="V124" i="5"/>
  <c r="U158" i="5"/>
  <c r="V158" i="5"/>
  <c r="AI464" i="5"/>
  <c r="AH464" i="5"/>
  <c r="AI512" i="5"/>
  <c r="AH512" i="5"/>
  <c r="AH384" i="5"/>
  <c r="AI384" i="5"/>
  <c r="AI232" i="5"/>
  <c r="AH232" i="5"/>
  <c r="AH264" i="5"/>
  <c r="AI264" i="5"/>
  <c r="AI304" i="5"/>
  <c r="AH304" i="5"/>
  <c r="AO128" i="5"/>
  <c r="AN128" i="5"/>
  <c r="AJ160" i="5"/>
  <c r="AH184" i="5"/>
  <c r="AI184" i="5"/>
  <c r="AJ216" i="5"/>
  <c r="AO48" i="5"/>
  <c r="AN48" i="5"/>
  <c r="AI64" i="5"/>
  <c r="AH64" i="5"/>
  <c r="AH96" i="5"/>
  <c r="AI96" i="5"/>
  <c r="AJ449" i="5"/>
  <c r="AJ81" i="5"/>
  <c r="AI113" i="5"/>
  <c r="AH113" i="5"/>
  <c r="AJ515" i="5"/>
  <c r="AO324" i="5"/>
  <c r="AN324" i="5"/>
  <c r="AI476" i="5"/>
  <c r="AH476" i="5"/>
  <c r="AH202" i="5"/>
  <c r="AI202" i="5"/>
  <c r="AH214" i="5"/>
  <c r="AI214" i="5"/>
  <c r="AH146" i="5"/>
  <c r="AI146" i="5"/>
  <c r="AI454" i="5"/>
  <c r="AH454" i="5"/>
  <c r="AI402" i="5"/>
  <c r="AH402" i="5"/>
  <c r="AI356" i="5"/>
  <c r="AH356" i="5"/>
  <c r="AI118" i="5"/>
  <c r="AH118" i="5"/>
  <c r="AH365" i="5"/>
  <c r="AI365" i="5"/>
  <c r="AI493" i="5"/>
  <c r="AH493" i="5"/>
  <c r="AH330" i="5"/>
  <c r="AI330" i="5"/>
  <c r="AI157" i="5"/>
  <c r="AH157" i="5"/>
  <c r="AH20" i="5"/>
  <c r="AI20" i="5"/>
  <c r="AI517" i="5"/>
  <c r="AH517" i="5"/>
  <c r="AI406" i="5"/>
  <c r="AH406" i="5"/>
  <c r="AH332" i="5"/>
  <c r="AI332" i="5"/>
  <c r="AI101" i="5"/>
  <c r="AH101" i="5"/>
  <c r="AI536" i="5"/>
  <c r="AH536" i="5"/>
  <c r="AH510" i="5"/>
  <c r="AI510" i="5"/>
  <c r="AH284" i="5"/>
  <c r="AI284" i="5"/>
  <c r="AI324" i="5"/>
  <c r="AH324" i="5"/>
  <c r="AH165" i="5"/>
  <c r="AI165" i="5"/>
  <c r="AI66" i="5"/>
  <c r="AH66" i="5"/>
  <c r="AN540" i="5"/>
  <c r="AO540" i="5"/>
  <c r="AO370" i="5"/>
  <c r="AN370" i="5"/>
  <c r="AO189" i="5"/>
  <c r="AN189" i="5"/>
  <c r="AN66" i="5"/>
  <c r="AO66" i="5"/>
  <c r="AN498" i="5"/>
  <c r="AO498" i="5"/>
  <c r="AN258" i="5"/>
  <c r="AO258" i="5"/>
  <c r="AN133" i="5"/>
  <c r="AO133" i="5"/>
  <c r="AN482" i="5"/>
  <c r="AO482" i="5"/>
  <c r="AO348" i="5"/>
  <c r="AN348" i="5"/>
  <c r="AN253" i="5"/>
  <c r="AO253" i="5"/>
  <c r="AN93" i="5"/>
  <c r="AO93" i="5"/>
  <c r="AO222" i="5"/>
  <c r="AN222" i="5"/>
  <c r="AO82" i="5"/>
  <c r="AN82" i="5"/>
  <c r="AO356" i="5"/>
  <c r="AN356" i="5"/>
  <c r="AN31" i="5"/>
  <c r="AO31" i="5"/>
  <c r="U56" i="4"/>
  <c r="AS112" i="4"/>
  <c r="U121" i="4"/>
  <c r="V99" i="4"/>
  <c r="AS99" i="4"/>
  <c r="U99" i="4"/>
  <c r="AN537" i="5"/>
  <c r="AO537" i="5"/>
  <c r="AJ423" i="5"/>
  <c r="AI447" i="5"/>
  <c r="AH447" i="5"/>
  <c r="AJ487" i="5"/>
  <c r="AJ327" i="5"/>
  <c r="AI359" i="5"/>
  <c r="AH359" i="5"/>
  <c r="AJ399" i="5"/>
  <c r="AH239" i="5"/>
  <c r="AI239" i="5"/>
  <c r="AH287" i="5"/>
  <c r="AI287" i="5"/>
  <c r="AO219" i="5"/>
  <c r="AN219" i="5"/>
  <c r="AH143" i="5"/>
  <c r="AI143" i="5"/>
  <c r="AO167" i="5"/>
  <c r="AN167" i="5"/>
  <c r="AH199" i="5"/>
  <c r="AI199" i="5"/>
  <c r="AJ31" i="5"/>
  <c r="AJ71" i="5"/>
  <c r="AI103" i="5"/>
  <c r="AH103" i="5"/>
  <c r="V220" i="5"/>
  <c r="V213" i="5"/>
  <c r="V108" i="5"/>
  <c r="U163" i="5"/>
  <c r="V163" i="5"/>
  <c r="V81" i="5"/>
  <c r="U81" i="5"/>
  <c r="AJ534" i="5"/>
  <c r="AJ464" i="5"/>
  <c r="AN512" i="5"/>
  <c r="AO512" i="5"/>
  <c r="AI360" i="5"/>
  <c r="AH360" i="5"/>
  <c r="U240" i="5"/>
  <c r="V240" i="5"/>
  <c r="AO304" i="5"/>
  <c r="AN304" i="5"/>
  <c r="V128" i="5"/>
  <c r="U128" i="5"/>
  <c r="AN192" i="5"/>
  <c r="AO192" i="5"/>
  <c r="AH24" i="5"/>
  <c r="AI24" i="5"/>
  <c r="U72" i="5"/>
  <c r="V72" i="5"/>
  <c r="AH8" i="5"/>
  <c r="AI8" i="5"/>
  <c r="AJ473" i="5"/>
  <c r="AJ121" i="5"/>
  <c r="AJ89" i="5"/>
  <c r="AK483" i="5"/>
  <c r="AL283" i="5"/>
  <c r="AK283" i="5"/>
  <c r="AO449" i="5"/>
  <c r="AN449" i="5"/>
  <c r="AI491" i="5"/>
  <c r="AH491" i="5"/>
  <c r="AH131" i="5"/>
  <c r="AI131" i="5"/>
  <c r="AH521" i="5"/>
  <c r="AI521" i="5"/>
  <c r="AJ347" i="5"/>
  <c r="U75" i="5"/>
  <c r="V75" i="5"/>
  <c r="AO369" i="5"/>
  <c r="AN369" i="5"/>
  <c r="AH119" i="5"/>
  <c r="AI119" i="5"/>
  <c r="AI557" i="5"/>
  <c r="AH557" i="5"/>
  <c r="AJ265" i="5"/>
  <c r="AJ411" i="5"/>
  <c r="AJ291" i="5"/>
  <c r="AH531" i="5"/>
  <c r="AI531" i="5"/>
  <c r="AH398" i="5"/>
  <c r="AI398" i="5"/>
  <c r="AI222" i="5"/>
  <c r="AH222" i="5"/>
  <c r="AH148" i="5"/>
  <c r="AI148" i="5"/>
  <c r="AI444" i="5"/>
  <c r="AH444" i="5"/>
  <c r="AH410" i="5"/>
  <c r="AI410" i="5"/>
  <c r="AH261" i="5"/>
  <c r="AI261" i="5"/>
  <c r="AI142" i="5"/>
  <c r="AH142" i="5"/>
  <c r="AI520" i="5"/>
  <c r="AH520" i="5"/>
  <c r="AI450" i="5"/>
  <c r="AH450" i="5"/>
  <c r="AH354" i="5"/>
  <c r="AI354" i="5"/>
  <c r="AI181" i="5"/>
  <c r="AH181" i="5"/>
  <c r="AH21" i="5"/>
  <c r="AI21" i="5"/>
  <c r="AI485" i="5"/>
  <c r="AH485" i="5"/>
  <c r="AI382" i="5"/>
  <c r="AH382" i="5"/>
  <c r="AH306" i="5"/>
  <c r="AI306" i="5"/>
  <c r="AI94" i="5"/>
  <c r="AH94" i="5"/>
  <c r="AH542" i="5"/>
  <c r="AI542" i="5"/>
  <c r="AH438" i="5"/>
  <c r="AI438" i="5"/>
  <c r="AI345" i="5"/>
  <c r="AH345" i="5"/>
  <c r="AI301" i="5"/>
  <c r="AH301" i="5"/>
  <c r="AI153" i="5"/>
  <c r="AH153" i="5"/>
  <c r="AH65" i="5"/>
  <c r="AI65" i="5"/>
  <c r="AO485" i="5"/>
  <c r="AN485" i="5"/>
  <c r="AN334" i="5"/>
  <c r="AO334" i="5"/>
  <c r="AO238" i="5"/>
  <c r="AN29" i="5"/>
  <c r="AO29" i="5"/>
  <c r="AN426" i="5"/>
  <c r="AO426" i="5"/>
  <c r="AN322" i="5"/>
  <c r="AO322" i="5"/>
  <c r="AO454" i="5"/>
  <c r="AN454" i="5"/>
  <c r="AO286" i="5"/>
  <c r="AN286" i="5"/>
  <c r="AN186" i="5"/>
  <c r="AO186" i="5"/>
  <c r="AN62" i="5"/>
  <c r="AO421" i="5"/>
  <c r="AN421" i="5"/>
  <c r="AN474" i="5"/>
  <c r="AO474" i="5"/>
  <c r="AN274" i="5"/>
  <c r="AO274" i="5"/>
  <c r="AO79" i="5"/>
  <c r="AS147" i="4"/>
  <c r="U147" i="4"/>
  <c r="V147" i="4"/>
  <c r="AS154" i="4"/>
  <c r="AS16" i="4"/>
  <c r="V87" i="4"/>
  <c r="U15" i="4"/>
  <c r="V80" i="4"/>
  <c r="B223" i="2"/>
  <c r="B200" i="2"/>
  <c r="B212" i="2" s="1"/>
  <c r="H65" i="1" s="1"/>
  <c r="AH545" i="5"/>
  <c r="AI545" i="5"/>
  <c r="AJ455" i="5"/>
  <c r="AH487" i="5"/>
  <c r="AI487" i="5"/>
  <c r="AI327" i="5"/>
  <c r="AH327" i="5"/>
  <c r="AO359" i="5"/>
  <c r="AN359" i="5"/>
  <c r="AJ239" i="5"/>
  <c r="AO287" i="5"/>
  <c r="AN287" i="5"/>
  <c r="V127" i="5"/>
  <c r="U127" i="5"/>
  <c r="AN175" i="5"/>
  <c r="AO175" i="5"/>
  <c r="AJ207" i="5"/>
  <c r="AJ47" i="5"/>
  <c r="AH79" i="5"/>
  <c r="AI79" i="5"/>
  <c r="V111" i="5"/>
  <c r="U111" i="5"/>
  <c r="U202" i="5"/>
  <c r="V202" i="5"/>
  <c r="U78" i="5"/>
  <c r="V78" i="5"/>
  <c r="V157" i="5"/>
  <c r="U157" i="5"/>
  <c r="V238" i="5"/>
  <c r="U178" i="5"/>
  <c r="AJ488" i="5"/>
  <c r="AJ320" i="5"/>
  <c r="AN360" i="5"/>
  <c r="AO360" i="5"/>
  <c r="AN392" i="5"/>
  <c r="AO392" i="5"/>
  <c r="AI240" i="5"/>
  <c r="AH240" i="5"/>
  <c r="AJ264" i="5"/>
  <c r="AH312" i="5"/>
  <c r="AI312" i="5"/>
  <c r="U144" i="5"/>
  <c r="V144" i="5"/>
  <c r="U168" i="5"/>
  <c r="V168" i="5"/>
  <c r="AH192" i="5"/>
  <c r="AI192" i="5"/>
  <c r="AJ48" i="5"/>
  <c r="AJ72" i="5"/>
  <c r="AJ96" i="5"/>
  <c r="AJ489" i="5"/>
  <c r="AJ113" i="5"/>
  <c r="AL273" i="5"/>
  <c r="AK273" i="5"/>
  <c r="AN549" i="5"/>
  <c r="AO549" i="5"/>
  <c r="AI457" i="5"/>
  <c r="AH457" i="5"/>
  <c r="AO169" i="5"/>
  <c r="AN169" i="5"/>
  <c r="AI211" i="5"/>
  <c r="AH211" i="5"/>
  <c r="AJ83" i="5"/>
  <c r="AJ313" i="5"/>
  <c r="AH267" i="5"/>
  <c r="AI267" i="5"/>
  <c r="AI535" i="5"/>
  <c r="AH535" i="5"/>
  <c r="AJ353" i="5"/>
  <c r="B174" i="2"/>
  <c r="B175" i="2"/>
  <c r="H54" i="1"/>
  <c r="AJ299" i="5"/>
  <c r="AJ211" i="5"/>
  <c r="AI498" i="5"/>
  <c r="AH498" i="5"/>
  <c r="AI364" i="5"/>
  <c r="AH364" i="5"/>
  <c r="AH166" i="5"/>
  <c r="AI166" i="5"/>
  <c r="AH82" i="5"/>
  <c r="AI82" i="5"/>
  <c r="AI528" i="5"/>
  <c r="AH528" i="5"/>
  <c r="AH386" i="5"/>
  <c r="AI386" i="5"/>
  <c r="AH276" i="5"/>
  <c r="AI276" i="5"/>
  <c r="AH141" i="5"/>
  <c r="AI141" i="5"/>
  <c r="AH551" i="5"/>
  <c r="AI551" i="5"/>
  <c r="AI390" i="5"/>
  <c r="AH390" i="5"/>
  <c r="AI270" i="5"/>
  <c r="AH270" i="5"/>
  <c r="AI173" i="5"/>
  <c r="AH173" i="5"/>
  <c r="AI470" i="5"/>
  <c r="AH470" i="5"/>
  <c r="AI350" i="5"/>
  <c r="AH350" i="5"/>
  <c r="AH290" i="5"/>
  <c r="AI290" i="5"/>
  <c r="AH274" i="5"/>
  <c r="AI274" i="5"/>
  <c r="AI26" i="5"/>
  <c r="AH26" i="5"/>
  <c r="AI492" i="5"/>
  <c r="AH492" i="5"/>
  <c r="AI346" i="5"/>
  <c r="AH346" i="5"/>
  <c r="AI313" i="5"/>
  <c r="AH313" i="5"/>
  <c r="AI273" i="5"/>
  <c r="AH273" i="5"/>
  <c r="AI110" i="5"/>
  <c r="AH110" i="5"/>
  <c r="AH54" i="5"/>
  <c r="AI54" i="5"/>
  <c r="AO556" i="5"/>
  <c r="AN556" i="5"/>
  <c r="AN410" i="5"/>
  <c r="AO410" i="5"/>
  <c r="AO130" i="5"/>
  <c r="AN130" i="5"/>
  <c r="AO438" i="5"/>
  <c r="AN438" i="5"/>
  <c r="AO270" i="5"/>
  <c r="AN270" i="5"/>
  <c r="AO302" i="5"/>
  <c r="AN302" i="5"/>
  <c r="AO430" i="5"/>
  <c r="AN430" i="5"/>
  <c r="AO418" i="5"/>
  <c r="AN418" i="5"/>
  <c r="AN228" i="5"/>
  <c r="AO228" i="5"/>
  <c r="AO508" i="5"/>
  <c r="AN508" i="5"/>
  <c r="AO198" i="5"/>
  <c r="AN198" i="5"/>
  <c r="AN446" i="5"/>
  <c r="AO446" i="5"/>
  <c r="AO220" i="5"/>
  <c r="AN220" i="5"/>
  <c r="AS122" i="4"/>
  <c r="U122" i="4"/>
  <c r="U33" i="4"/>
  <c r="U26" i="4"/>
  <c r="AJ525" i="5"/>
  <c r="AJ431" i="5"/>
  <c r="AH455" i="5"/>
  <c r="AI455" i="5"/>
  <c r="AN495" i="5"/>
  <c r="AO495" i="5"/>
  <c r="AJ335" i="5"/>
  <c r="AN367" i="5"/>
  <c r="AO367" i="5"/>
  <c r="AJ295" i="5"/>
  <c r="AJ127" i="5"/>
  <c r="AJ143" i="5"/>
  <c r="V175" i="5"/>
  <c r="U175" i="5"/>
  <c r="AO207" i="5"/>
  <c r="AN207" i="5"/>
  <c r="AO47" i="5"/>
  <c r="AN47" i="5"/>
  <c r="AJ79" i="5"/>
  <c r="AN111" i="5"/>
  <c r="U198" i="5"/>
  <c r="V198" i="5"/>
  <c r="U65" i="5"/>
  <c r="V65" i="5"/>
  <c r="U218" i="5"/>
  <c r="V218" i="5"/>
  <c r="V73" i="5"/>
  <c r="U73" i="5"/>
  <c r="U193" i="5"/>
  <c r="V193" i="5"/>
  <c r="U122" i="5"/>
  <c r="V122" i="5"/>
  <c r="U58" i="5"/>
  <c r="AH488" i="5"/>
  <c r="AI488" i="5"/>
  <c r="AN320" i="5"/>
  <c r="AO320" i="5"/>
  <c r="AJ360" i="5"/>
  <c r="AH392" i="5"/>
  <c r="AI392" i="5"/>
  <c r="AJ272" i="5"/>
  <c r="AJ312" i="5"/>
  <c r="AH144" i="5"/>
  <c r="AI144" i="5"/>
  <c r="AO168" i="5"/>
  <c r="AO32" i="5"/>
  <c r="AN32" i="5"/>
  <c r="AH48" i="5"/>
  <c r="AI48" i="5"/>
  <c r="AH72" i="5"/>
  <c r="AI72" i="5"/>
  <c r="V42" i="4"/>
  <c r="V122" i="4"/>
  <c r="AI379" i="5"/>
  <c r="AH379" i="5"/>
  <c r="AH25" i="5"/>
  <c r="AI25" i="5"/>
  <c r="AH51" i="5"/>
  <c r="AI51" i="5"/>
  <c r="AN115" i="5"/>
  <c r="AI257" i="5"/>
  <c r="AH257" i="5"/>
  <c r="AJ107" i="5"/>
  <c r="AJ403" i="5"/>
  <c r="AO395" i="5"/>
  <c r="AN395" i="5"/>
  <c r="AH355" i="5"/>
  <c r="AI355" i="5"/>
  <c r="AH527" i="5"/>
  <c r="AI527" i="5"/>
  <c r="AJ467" i="5"/>
  <c r="AJ339" i="5"/>
  <c r="AJ119" i="5"/>
  <c r="AF539" i="5"/>
  <c r="AP539" i="5" s="1"/>
  <c r="AF448" i="5"/>
  <c r="AF467" i="5"/>
  <c r="AF256" i="5"/>
  <c r="AF511" i="5"/>
  <c r="AF248" i="5"/>
  <c r="AF298" i="5"/>
  <c r="AF444" i="5"/>
  <c r="AF281" i="5"/>
  <c r="AP281" i="5" s="1"/>
  <c r="AF398" i="5"/>
  <c r="AF523" i="5"/>
  <c r="AF526" i="5"/>
  <c r="AF293" i="5"/>
  <c r="AF207" i="5"/>
  <c r="AF81" i="5"/>
  <c r="AF455" i="5"/>
  <c r="AF364" i="5"/>
  <c r="AF313" i="5"/>
  <c r="AF128" i="5"/>
  <c r="AF544" i="5"/>
  <c r="AF488" i="5"/>
  <c r="AF473" i="5"/>
  <c r="AF459" i="5"/>
  <c r="AF434" i="5"/>
  <c r="AF306" i="5"/>
  <c r="AF272" i="5"/>
  <c r="AF205" i="5"/>
  <c r="AF132" i="5"/>
  <c r="AF27" i="5"/>
  <c r="AF525" i="5"/>
  <c r="AF520" i="5"/>
  <c r="AF512" i="5"/>
  <c r="AF516" i="5"/>
  <c r="AF320" i="5"/>
  <c r="AF265" i="5"/>
  <c r="AF304" i="5"/>
  <c r="AF173" i="5"/>
  <c r="AF64" i="5"/>
  <c r="AF46" i="5"/>
  <c r="AF93" i="5"/>
  <c r="AF167" i="5"/>
  <c r="AF213" i="5"/>
  <c r="AF266" i="5"/>
  <c r="AF288" i="5"/>
  <c r="AF331" i="5"/>
  <c r="AF393" i="5"/>
  <c r="AF383" i="5"/>
  <c r="AF413" i="5"/>
  <c r="AF490" i="5"/>
  <c r="AF79" i="5"/>
  <c r="AF155" i="5"/>
  <c r="AF186" i="5"/>
  <c r="AF194" i="5"/>
  <c r="AF311" i="5"/>
  <c r="AF247" i="5"/>
  <c r="AF277" i="5"/>
  <c r="AF257" i="5"/>
  <c r="AF335" i="5"/>
  <c r="AF406" i="5"/>
  <c r="AF134" i="5"/>
  <c r="AF117" i="5"/>
  <c r="AF74" i="5"/>
  <c r="AF40" i="5"/>
  <c r="AF130" i="5"/>
  <c r="AF121" i="5"/>
  <c r="AF160" i="5"/>
  <c r="AF75" i="5"/>
  <c r="AF44" i="5"/>
  <c r="AF7" i="5"/>
  <c r="AF9" i="5"/>
  <c r="AF430" i="5"/>
  <c r="AF362" i="5"/>
  <c r="AF514" i="5"/>
  <c r="AF316" i="5"/>
  <c r="AF461" i="5"/>
  <c r="AF318" i="5"/>
  <c r="AF228" i="5"/>
  <c r="AF478" i="5"/>
  <c r="AF250" i="5"/>
  <c r="AF513" i="5"/>
  <c r="AF500" i="5"/>
  <c r="AF485" i="5"/>
  <c r="AF330" i="5"/>
  <c r="AF157" i="5"/>
  <c r="AF70" i="5"/>
  <c r="AF426" i="5"/>
  <c r="AF377" i="5"/>
  <c r="AF227" i="5"/>
  <c r="AP227" i="5" s="1"/>
  <c r="AF54" i="5"/>
  <c r="AF518" i="5"/>
  <c r="AF429" i="5"/>
  <c r="AF463" i="5"/>
  <c r="AF439" i="5"/>
  <c r="AF397" i="5"/>
  <c r="AF208" i="5"/>
  <c r="AF215" i="5"/>
  <c r="AF240" i="5"/>
  <c r="AF144" i="5"/>
  <c r="AF550" i="5"/>
  <c r="AF451" i="5"/>
  <c r="AF506" i="5"/>
  <c r="AF498" i="5"/>
  <c r="AF496" i="5"/>
  <c r="AF402" i="5"/>
  <c r="AF350" i="5"/>
  <c r="AF278" i="5"/>
  <c r="AF159" i="5"/>
  <c r="AF63" i="5"/>
  <c r="AF33" i="5"/>
  <c r="AF116" i="5"/>
  <c r="AF164" i="5"/>
  <c r="AF225" i="5"/>
  <c r="AF279" i="5"/>
  <c r="AF303" i="5"/>
  <c r="AF352" i="5"/>
  <c r="AF409" i="5"/>
  <c r="AF404" i="5"/>
  <c r="AF336" i="5"/>
  <c r="AF39" i="5"/>
  <c r="AF96" i="5"/>
  <c r="AF127" i="5"/>
  <c r="AF216" i="5"/>
  <c r="AF203" i="5"/>
  <c r="AF327" i="5"/>
  <c r="AF268" i="5"/>
  <c r="AF324" i="5"/>
  <c r="AF295" i="5"/>
  <c r="AF357" i="5"/>
  <c r="AF433" i="5"/>
  <c r="AF182" i="5"/>
  <c r="AF107" i="5"/>
  <c r="AF78" i="5"/>
  <c r="AF42" i="5"/>
  <c r="AF172" i="5"/>
  <c r="AF103" i="5"/>
  <c r="AF142" i="5"/>
  <c r="AF35" i="5"/>
  <c r="AF37" i="5"/>
  <c r="AF12" i="5"/>
  <c r="AF471" i="5"/>
  <c r="AF243" i="5"/>
  <c r="AF517" i="5"/>
  <c r="AF199" i="5"/>
  <c r="AF437" i="5"/>
  <c r="AF235" i="5"/>
  <c r="AF510" i="5"/>
  <c r="AP510" i="5" s="1"/>
  <c r="AF483" i="5"/>
  <c r="AF146" i="5"/>
  <c r="AF559" i="5"/>
  <c r="AF446" i="5"/>
  <c r="AF412" i="5"/>
  <c r="AF285" i="5"/>
  <c r="AF91" i="5"/>
  <c r="AF560" i="5"/>
  <c r="AF468" i="5"/>
  <c r="AF332" i="5"/>
  <c r="AF226" i="5"/>
  <c r="AF55" i="5"/>
  <c r="AF541" i="5"/>
  <c r="AF545" i="5"/>
  <c r="AF432" i="5"/>
  <c r="AF536" i="5"/>
  <c r="AF389" i="5"/>
  <c r="AF372" i="5"/>
  <c r="AF261" i="5"/>
  <c r="AF187" i="5"/>
  <c r="AF109" i="5"/>
  <c r="AF549" i="5"/>
  <c r="AF499" i="5"/>
  <c r="AF476" i="5"/>
  <c r="AF462" i="5"/>
  <c r="AF435" i="5"/>
  <c r="AF309" i="5"/>
  <c r="AF275" i="5"/>
  <c r="AF210" i="5"/>
  <c r="AF136" i="5"/>
  <c r="AF28" i="5"/>
  <c r="AF71" i="5"/>
  <c r="AF153" i="5"/>
  <c r="AF179" i="5"/>
  <c r="AF177" i="5"/>
  <c r="AF308" i="5"/>
  <c r="AF234" i="5"/>
  <c r="AF274" i="5"/>
  <c r="AF254" i="5"/>
  <c r="AF334" i="5"/>
  <c r="AF403" i="5"/>
  <c r="AF41" i="5"/>
  <c r="AF106" i="5"/>
  <c r="AF181" i="5"/>
  <c r="AF178" i="5"/>
  <c r="AF237" i="5"/>
  <c r="AF259" i="5"/>
  <c r="AF305" i="5"/>
  <c r="AF368" i="5"/>
  <c r="AF347" i="5"/>
  <c r="AF384" i="5"/>
  <c r="AF458" i="5"/>
  <c r="AF143" i="5"/>
  <c r="AF124" i="5"/>
  <c r="AF66" i="5"/>
  <c r="AF211" i="5"/>
  <c r="AF122" i="5"/>
  <c r="AF147" i="5"/>
  <c r="AF99" i="5"/>
  <c r="AF53" i="5"/>
  <c r="AF36" i="5"/>
  <c r="AF13" i="5"/>
  <c r="AF537" i="5"/>
  <c r="AF540" i="5"/>
  <c r="AP540" i="5" s="1"/>
  <c r="AF415" i="5"/>
  <c r="AF151" i="5"/>
  <c r="AF501" i="5"/>
  <c r="AF180" i="5"/>
  <c r="AF547" i="5"/>
  <c r="AF408" i="5"/>
  <c r="AF24" i="5"/>
  <c r="AF548" i="5"/>
  <c r="AF223" i="5"/>
  <c r="AF338" i="5"/>
  <c r="AF319" i="5"/>
  <c r="AF92" i="5"/>
  <c r="AF502" i="5"/>
  <c r="AF424" i="5"/>
  <c r="AF428" i="5"/>
  <c r="AF233" i="5"/>
  <c r="AF67" i="5"/>
  <c r="AF557" i="5"/>
  <c r="AF528" i="5"/>
  <c r="AF345" i="5"/>
  <c r="AF527" i="5"/>
  <c r="AF363" i="5"/>
  <c r="AF340" i="5"/>
  <c r="AF328" i="5"/>
  <c r="AF220" i="5"/>
  <c r="AF98" i="5"/>
  <c r="AF538" i="5"/>
  <c r="AF431" i="5"/>
  <c r="AF465" i="5"/>
  <c r="AF452" i="5"/>
  <c r="AF400" i="5"/>
  <c r="AF239" i="5"/>
  <c r="AF218" i="5"/>
  <c r="AF139" i="5"/>
  <c r="AF150" i="5"/>
  <c r="AF32" i="5"/>
  <c r="AF87" i="5"/>
  <c r="AF114" i="5"/>
  <c r="AF209" i="5"/>
  <c r="AF202" i="5"/>
  <c r="AP202" i="5" s="1"/>
  <c r="AF325" i="5"/>
  <c r="AF267" i="5"/>
  <c r="AF301" i="5"/>
  <c r="AF283" i="5"/>
  <c r="AF346" i="5"/>
  <c r="AF425" i="5"/>
  <c r="AF60" i="5"/>
  <c r="AF148" i="5"/>
  <c r="AP148" i="5" s="1"/>
  <c r="AF137" i="5"/>
  <c r="AF195" i="5"/>
  <c r="AF246" i="5"/>
  <c r="AF271" i="5"/>
  <c r="AF326" i="5"/>
  <c r="AF386" i="5"/>
  <c r="AF369" i="5"/>
  <c r="AF399" i="5"/>
  <c r="AF475" i="5"/>
  <c r="AF115" i="5"/>
  <c r="AF104" i="5"/>
  <c r="AF47" i="5"/>
  <c r="AF189" i="5"/>
  <c r="AF184" i="5"/>
  <c r="AF133" i="5"/>
  <c r="AP133" i="5" s="1"/>
  <c r="AF100" i="5"/>
  <c r="AF30" i="5"/>
  <c r="AF45" i="5"/>
  <c r="AF11" i="5"/>
  <c r="AF534" i="5"/>
  <c r="AF531" i="5"/>
  <c r="AF337" i="5"/>
  <c r="AF494" i="5"/>
  <c r="AF382" i="5"/>
  <c r="AP382" i="5" s="1"/>
  <c r="AF89" i="5"/>
  <c r="AF551" i="5"/>
  <c r="AF373" i="5"/>
  <c r="AF553" i="5"/>
  <c r="AF552" i="5"/>
  <c r="AF480" i="5"/>
  <c r="AF375" i="5"/>
  <c r="AF258" i="5"/>
  <c r="AF23" i="5"/>
  <c r="AF535" i="5"/>
  <c r="AF533" i="5"/>
  <c r="AF355" i="5"/>
  <c r="AF242" i="5"/>
  <c r="AF20" i="5"/>
  <c r="AF508" i="5"/>
  <c r="AF519" i="5"/>
  <c r="AF507" i="5"/>
  <c r="AF515" i="5"/>
  <c r="AF314" i="5"/>
  <c r="AF260" i="5"/>
  <c r="AF299" i="5"/>
  <c r="AF82" i="5"/>
  <c r="AF29" i="5"/>
  <c r="AF443" i="5"/>
  <c r="AF374" i="5"/>
  <c r="AF454" i="5"/>
  <c r="AF423" i="5"/>
  <c r="AF263" i="5"/>
  <c r="AF407" i="5"/>
  <c r="AF300" i="5"/>
  <c r="AF222" i="5"/>
  <c r="AP222" i="5" s="1"/>
  <c r="AF111" i="5"/>
  <c r="AF34" i="5"/>
  <c r="AF84" i="5"/>
  <c r="AF145" i="5"/>
  <c r="AF229" i="5"/>
  <c r="AF214" i="5"/>
  <c r="AF171" i="5"/>
  <c r="AF284" i="5"/>
  <c r="AF349" i="5"/>
  <c r="AF312" i="5"/>
  <c r="AF370" i="5"/>
  <c r="AF436" i="5"/>
  <c r="AF49" i="5"/>
  <c r="AF102" i="5"/>
  <c r="AF175" i="5"/>
  <c r="AF217" i="5"/>
  <c r="AF270" i="5"/>
  <c r="AP270" i="5" s="1"/>
  <c r="AF291" i="5"/>
  <c r="AF341" i="5"/>
  <c r="AF396" i="5"/>
  <c r="AF385" i="5"/>
  <c r="AF416" i="5"/>
  <c r="AF174" i="5"/>
  <c r="AF88" i="5"/>
  <c r="AF95" i="5"/>
  <c r="AF65" i="5"/>
  <c r="AF158" i="5"/>
  <c r="AF169" i="5"/>
  <c r="AP169" i="5" s="1"/>
  <c r="AF125" i="5"/>
  <c r="AF83" i="5"/>
  <c r="AF58" i="5"/>
  <c r="AF482" i="5"/>
  <c r="AF487" i="5"/>
  <c r="AF90" i="5"/>
  <c r="AF481" i="5"/>
  <c r="AF280" i="5"/>
  <c r="AF19" i="5"/>
  <c r="AF294" i="5"/>
  <c r="AF356" i="5"/>
  <c r="AF421" i="5"/>
  <c r="AF310" i="5"/>
  <c r="AF59" i="5"/>
  <c r="AF492" i="5"/>
  <c r="AF365" i="5"/>
  <c r="AF190" i="5"/>
  <c r="AF73" i="5"/>
  <c r="AF191" i="5"/>
  <c r="AF302" i="5"/>
  <c r="AF418" i="5"/>
  <c r="AF77" i="5"/>
  <c r="AF230" i="5"/>
  <c r="AF290" i="5"/>
  <c r="AF249" i="5"/>
  <c r="AF149" i="5"/>
  <c r="AF21" i="5"/>
  <c r="AF105" i="5"/>
  <c r="AF245" i="5"/>
  <c r="AF427" i="5"/>
  <c r="AF555" i="5"/>
  <c r="AF543" i="5"/>
  <c r="AF391" i="5"/>
  <c r="AF509" i="5"/>
  <c r="AF286" i="5"/>
  <c r="AF530" i="5"/>
  <c r="AF491" i="5"/>
  <c r="AF296" i="5"/>
  <c r="AF50" i="5"/>
  <c r="AF440" i="5"/>
  <c r="AF353" i="5"/>
  <c r="AF224" i="5"/>
  <c r="AF94" i="5"/>
  <c r="AF236" i="5"/>
  <c r="AF321" i="5"/>
  <c r="AF380" i="5"/>
  <c r="AF86" i="5"/>
  <c r="AF238" i="5"/>
  <c r="AF358" i="5"/>
  <c r="AF371" i="5"/>
  <c r="AF131" i="5"/>
  <c r="AF192" i="5"/>
  <c r="AP192" i="5" s="1"/>
  <c r="AF85" i="5"/>
  <c r="AF445" i="5"/>
  <c r="AF505" i="5"/>
  <c r="AF495" i="5"/>
  <c r="AF469" i="5"/>
  <c r="AF262" i="5"/>
  <c r="AF479" i="5"/>
  <c r="AF176" i="5"/>
  <c r="AP176" i="5" s="1"/>
  <c r="AF322" i="5"/>
  <c r="AF460" i="5"/>
  <c r="AF276" i="5"/>
  <c r="AF493" i="5"/>
  <c r="AF420" i="5"/>
  <c r="AF376" i="5"/>
  <c r="AF108" i="5"/>
  <c r="AF126" i="5"/>
  <c r="AF231" i="5"/>
  <c r="AF252" i="5"/>
  <c r="AF395" i="5"/>
  <c r="AF123" i="5"/>
  <c r="AF219" i="5"/>
  <c r="AF255" i="5"/>
  <c r="AF348" i="5"/>
  <c r="AF156" i="5"/>
  <c r="AF168" i="5"/>
  <c r="AF97" i="5"/>
  <c r="AF10" i="5"/>
  <c r="AF521" i="5"/>
  <c r="AF417" i="5"/>
  <c r="AF366" i="5"/>
  <c r="AF556" i="5"/>
  <c r="AF197" i="5"/>
  <c r="AF504" i="5"/>
  <c r="AF161" i="5"/>
  <c r="AF503" i="5"/>
  <c r="AF419" i="5"/>
  <c r="AF241" i="5"/>
  <c r="AF542" i="5"/>
  <c r="AF477" i="5"/>
  <c r="AF342" i="5"/>
  <c r="AF101" i="5"/>
  <c r="AF135" i="5"/>
  <c r="AF201" i="5"/>
  <c r="AF367" i="5"/>
  <c r="AF388" i="5"/>
  <c r="AF140" i="5"/>
  <c r="AF282" i="5"/>
  <c r="AF354" i="5"/>
  <c r="AF394" i="5"/>
  <c r="AP394" i="5" s="1"/>
  <c r="AF57" i="5"/>
  <c r="AF152" i="5"/>
  <c r="AF48" i="5"/>
  <c r="AF31" i="5"/>
  <c r="AF453" i="5"/>
  <c r="AF438" i="5"/>
  <c r="AF387" i="5"/>
  <c r="AF470" i="5"/>
  <c r="AF212" i="5"/>
  <c r="AF497" i="5"/>
  <c r="AF68" i="5"/>
  <c r="AF484" i="5"/>
  <c r="AF390" i="5"/>
  <c r="AF221" i="5"/>
  <c r="AF558" i="5"/>
  <c r="AF359" i="5"/>
  <c r="AF317" i="5"/>
  <c r="AF80" i="5"/>
  <c r="AF170" i="5"/>
  <c r="AF292" i="5"/>
  <c r="AF381" i="5"/>
  <c r="AF456" i="5"/>
  <c r="AF120" i="5"/>
  <c r="AF297" i="5"/>
  <c r="AF410" i="5"/>
  <c r="AF442" i="5"/>
  <c r="AF61" i="5"/>
  <c r="AF138" i="5"/>
  <c r="AF76" i="5"/>
  <c r="AF8" i="5"/>
  <c r="AF273" i="5"/>
  <c r="AF289" i="5"/>
  <c r="AF329" i="5"/>
  <c r="AF457" i="5"/>
  <c r="AF113" i="5"/>
  <c r="AF447" i="5"/>
  <c r="AF524" i="5"/>
  <c r="AF449" i="5"/>
  <c r="AF351" i="5"/>
  <c r="AF185" i="5"/>
  <c r="AF546" i="5"/>
  <c r="AF532" i="5"/>
  <c r="AF264" i="5"/>
  <c r="AF51" i="5"/>
  <c r="AP51" i="5" s="1"/>
  <c r="AF119" i="5"/>
  <c r="AF253" i="5"/>
  <c r="AF441" i="5"/>
  <c r="AF472" i="5"/>
  <c r="AF166" i="5"/>
  <c r="AF183" i="5"/>
  <c r="AF193" i="5"/>
  <c r="AF118" i="5"/>
  <c r="AF69" i="5"/>
  <c r="AF141" i="5"/>
  <c r="AF72" i="5"/>
  <c r="AF522" i="5"/>
  <c r="AF287" i="5"/>
  <c r="AF379" i="5"/>
  <c r="AF206" i="5"/>
  <c r="AF378" i="5"/>
  <c r="AF165" i="5"/>
  <c r="AF414" i="5"/>
  <c r="AF489" i="5"/>
  <c r="AF486" i="5"/>
  <c r="AF405" i="5"/>
  <c r="AF188" i="5"/>
  <c r="AF554" i="5"/>
  <c r="AF464" i="5"/>
  <c r="AF333" i="5"/>
  <c r="AF26" i="5"/>
  <c r="AP26" i="5" s="1"/>
  <c r="AF200" i="5"/>
  <c r="AF269" i="5"/>
  <c r="AF343" i="5"/>
  <c r="AF43" i="5"/>
  <c r="AF204" i="5"/>
  <c r="AF307" i="5"/>
  <c r="AP307" i="5" s="1"/>
  <c r="AF315" i="5"/>
  <c r="AF162" i="5"/>
  <c r="AF52" i="5"/>
  <c r="AF154" i="5"/>
  <c r="AF62" i="5"/>
  <c r="AF466" i="5"/>
  <c r="AF196" i="5"/>
  <c r="AF339" i="5"/>
  <c r="AF450" i="5"/>
  <c r="AF422" i="5"/>
  <c r="AF129" i="5"/>
  <c r="AP129" i="5" s="1"/>
  <c r="AF360" i="5"/>
  <c r="AF401" i="5"/>
  <c r="AF474" i="5"/>
  <c r="AF344" i="5"/>
  <c r="AF110" i="5"/>
  <c r="AF529" i="5"/>
  <c r="AF392" i="5"/>
  <c r="AF244" i="5"/>
  <c r="AF56" i="5"/>
  <c r="AF251" i="5"/>
  <c r="AF323" i="5"/>
  <c r="AF361" i="5"/>
  <c r="AF38" i="5"/>
  <c r="AF232" i="5"/>
  <c r="AF198" i="5"/>
  <c r="AF411" i="5"/>
  <c r="AF163" i="5"/>
  <c r="AF25" i="5"/>
  <c r="AF112" i="5"/>
  <c r="AF22" i="5"/>
  <c r="AI462" i="5"/>
  <c r="AH462" i="5"/>
  <c r="AI338" i="5"/>
  <c r="AH338" i="5"/>
  <c r="AH245" i="5"/>
  <c r="AI245" i="5"/>
  <c r="AI70" i="5"/>
  <c r="AH70" i="5"/>
  <c r="AH486" i="5"/>
  <c r="AI486" i="5"/>
  <c r="AI340" i="5"/>
  <c r="AH340" i="5"/>
  <c r="AH210" i="5"/>
  <c r="AI210" i="5"/>
  <c r="AH78" i="5"/>
  <c r="AI78" i="5"/>
  <c r="AI524" i="5"/>
  <c r="AH524" i="5"/>
  <c r="AI381" i="5"/>
  <c r="AH381" i="5"/>
  <c r="AI205" i="5"/>
  <c r="AH205" i="5"/>
  <c r="AH138" i="5"/>
  <c r="AI138" i="5"/>
  <c r="AH428" i="5"/>
  <c r="AI428" i="5"/>
  <c r="AI418" i="5"/>
  <c r="AH418" i="5"/>
  <c r="AI348" i="5"/>
  <c r="AH348" i="5"/>
  <c r="AH252" i="5"/>
  <c r="AI252" i="5"/>
  <c r="AI45" i="5"/>
  <c r="AH45" i="5"/>
  <c r="AI380" i="5"/>
  <c r="AH380" i="5"/>
  <c r="AH417" i="5"/>
  <c r="AI417" i="5"/>
  <c r="AH281" i="5"/>
  <c r="AI281" i="5"/>
  <c r="AH233" i="5"/>
  <c r="AI233" i="5"/>
  <c r="AI130" i="5"/>
  <c r="AH130" i="5"/>
  <c r="AH42" i="5"/>
  <c r="AI42" i="5"/>
  <c r="AN520" i="5"/>
  <c r="AO520" i="5"/>
  <c r="AN346" i="5"/>
  <c r="AO346" i="5"/>
  <c r="AN173" i="5"/>
  <c r="AO173" i="5"/>
  <c r="AN458" i="5"/>
  <c r="AO458" i="5"/>
  <c r="AN298" i="5"/>
  <c r="AO298" i="5"/>
  <c r="AN38" i="5"/>
  <c r="AO38" i="5"/>
  <c r="AN389" i="5"/>
  <c r="AO389" i="5"/>
  <c r="AN204" i="5"/>
  <c r="AO204" i="5"/>
  <c r="AO28" i="5"/>
  <c r="AN28" i="5"/>
  <c r="AO493" i="5"/>
  <c r="AN493" i="5"/>
  <c r="AO338" i="5"/>
  <c r="AN338" i="5"/>
  <c r="AN141" i="5"/>
  <c r="AO141" i="5"/>
  <c r="AO481" i="5"/>
  <c r="AN481" i="5"/>
  <c r="AN394" i="5"/>
  <c r="AO394" i="5"/>
  <c r="AN358" i="5"/>
  <c r="AO161" i="5"/>
  <c r="AN161" i="5"/>
  <c r="AN110" i="5"/>
  <c r="AO110" i="5"/>
  <c r="AS90" i="4"/>
  <c r="V90" i="4"/>
  <c r="V149" i="4"/>
  <c r="V156" i="4"/>
  <c r="AS156" i="4"/>
  <c r="U156" i="4"/>
  <c r="U146" i="4"/>
  <c r="V28" i="4"/>
  <c r="U136" i="4"/>
  <c r="AH525" i="5"/>
  <c r="AI525" i="5"/>
  <c r="AI495" i="5"/>
  <c r="AH495" i="5"/>
  <c r="AH335" i="5"/>
  <c r="AI335" i="5"/>
  <c r="AJ367" i="5"/>
  <c r="AJ223" i="5"/>
  <c r="U255" i="5"/>
  <c r="V255" i="5"/>
  <c r="AJ303" i="5"/>
  <c r="AI127" i="5"/>
  <c r="AH127" i="5"/>
  <c r="AI159" i="5"/>
  <c r="AH159" i="5"/>
  <c r="AI175" i="5"/>
  <c r="AH175" i="5"/>
  <c r="AI47" i="5"/>
  <c r="AH47" i="5"/>
  <c r="AI87" i="5"/>
  <c r="AH87" i="5"/>
  <c r="AJ111" i="5"/>
  <c r="V179" i="5"/>
  <c r="U179" i="5"/>
  <c r="U49" i="5"/>
  <c r="V49" i="5"/>
  <c r="U197" i="5"/>
  <c r="V197" i="5"/>
  <c r="U68" i="5"/>
  <c r="V68" i="5"/>
  <c r="U148" i="5"/>
  <c r="V148" i="5"/>
  <c r="AJ7" i="5"/>
  <c r="AG7" i="5"/>
  <c r="AM7" i="5"/>
  <c r="T7" i="5"/>
  <c r="Q7" i="5"/>
  <c r="W7" i="5"/>
  <c r="AI432" i="5"/>
  <c r="AH432" i="5"/>
  <c r="AH496" i="5"/>
  <c r="AI496" i="5"/>
  <c r="AI328" i="5"/>
  <c r="AH328" i="5"/>
  <c r="AJ368" i="5"/>
  <c r="AJ416" i="5"/>
  <c r="AJ240" i="5"/>
  <c r="AI280" i="5"/>
  <c r="AH280" i="5"/>
  <c r="AO312" i="5"/>
  <c r="AN312" i="5"/>
  <c r="AJ144" i="5"/>
  <c r="AH176" i="5"/>
  <c r="AI176" i="5"/>
  <c r="U200" i="5"/>
  <c r="V200" i="5"/>
  <c r="AJ32" i="5"/>
  <c r="AJ56" i="5"/>
  <c r="AO72" i="5"/>
  <c r="AN72" i="5"/>
  <c r="AI104" i="5"/>
  <c r="AH104" i="5"/>
  <c r="V50" i="4"/>
  <c r="V131" i="4"/>
  <c r="AK187" i="5"/>
  <c r="AL187" i="5"/>
  <c r="AO195" i="5"/>
  <c r="AK521" i="5"/>
  <c r="AL521" i="5"/>
  <c r="AH129" i="5"/>
  <c r="AI129" i="5"/>
  <c r="AK153" i="5"/>
  <c r="AO235" i="5"/>
  <c r="AN235" i="5"/>
  <c r="AI283" i="5"/>
  <c r="AH283" i="5"/>
  <c r="AN41" i="5"/>
  <c r="AO41" i="5"/>
  <c r="AO459" i="5"/>
  <c r="AN459" i="5"/>
  <c r="AH387" i="5"/>
  <c r="AI387" i="5"/>
  <c r="AJ97" i="5"/>
  <c r="AJ459" i="5"/>
  <c r="AJ541" i="5"/>
  <c r="AJ35" i="5"/>
  <c r="AJ99" i="5"/>
  <c r="AJ8" i="5"/>
  <c r="AI560" i="5"/>
  <c r="AH560" i="5"/>
  <c r="AI434" i="5"/>
  <c r="AH434" i="5"/>
  <c r="AH300" i="5"/>
  <c r="AI300" i="5"/>
  <c r="AI194" i="5"/>
  <c r="AH194" i="5"/>
  <c r="AI58" i="5"/>
  <c r="AH58" i="5"/>
  <c r="AI460" i="5"/>
  <c r="AH460" i="5"/>
  <c r="AH262" i="5"/>
  <c r="AI262" i="5"/>
  <c r="AI314" i="5"/>
  <c r="AH314" i="5"/>
  <c r="AH69" i="5"/>
  <c r="AI69" i="5"/>
  <c r="AH302" i="5"/>
  <c r="AI302" i="5"/>
  <c r="AI333" i="5"/>
  <c r="AH333" i="5"/>
  <c r="AI238" i="5"/>
  <c r="AH238" i="5"/>
  <c r="AH109" i="5"/>
  <c r="AI109" i="5"/>
  <c r="AI540" i="5"/>
  <c r="AH540" i="5"/>
  <c r="AH405" i="5"/>
  <c r="AI405" i="5"/>
  <c r="AI318" i="5"/>
  <c r="AH318" i="5"/>
  <c r="AI212" i="5"/>
  <c r="AH212" i="5"/>
  <c r="AI544" i="5"/>
  <c r="AH544" i="5"/>
  <c r="AH548" i="5"/>
  <c r="AI548" i="5"/>
  <c r="AI396" i="5"/>
  <c r="AH396" i="5"/>
  <c r="AI237" i="5"/>
  <c r="AH237" i="5"/>
  <c r="AH229" i="5"/>
  <c r="AI229" i="5"/>
  <c r="AH92" i="5"/>
  <c r="AI92" i="5"/>
  <c r="AH38" i="5"/>
  <c r="AI38" i="5"/>
  <c r="AO434" i="5"/>
  <c r="AN434" i="5"/>
  <c r="AO306" i="5"/>
  <c r="AN306" i="5"/>
  <c r="AN122" i="5"/>
  <c r="AO122" i="5"/>
  <c r="AO437" i="5"/>
  <c r="AO354" i="5"/>
  <c r="AN354" i="5"/>
  <c r="AN282" i="5"/>
  <c r="AO282" i="5"/>
  <c r="AN26" i="5"/>
  <c r="AO26" i="5"/>
  <c r="AN293" i="5"/>
  <c r="AO293" i="5"/>
  <c r="AN205" i="5"/>
  <c r="AO205" i="5"/>
  <c r="AO42" i="5"/>
  <c r="AN42" i="5"/>
  <c r="AO514" i="5"/>
  <c r="AN514" i="5"/>
  <c r="AN206" i="5"/>
  <c r="AO206" i="5"/>
  <c r="AN149" i="5"/>
  <c r="AO149" i="5"/>
  <c r="AO530" i="5"/>
  <c r="AN530" i="5"/>
  <c r="AN422" i="5"/>
  <c r="AO422" i="5"/>
  <c r="AO332" i="5"/>
  <c r="AO194" i="5"/>
  <c r="AN194" i="5"/>
  <c r="AO105" i="5"/>
  <c r="AN105" i="5"/>
  <c r="V51" i="4"/>
  <c r="AS51" i="4"/>
  <c r="U51" i="4"/>
  <c r="U58" i="4"/>
  <c r="AS117" i="4"/>
  <c r="V124" i="4"/>
  <c r="AO525" i="5"/>
  <c r="AN525" i="5"/>
  <c r="AJ439" i="5"/>
  <c r="AO463" i="5"/>
  <c r="AN463" i="5"/>
  <c r="AI223" i="5"/>
  <c r="AH223" i="5"/>
  <c r="AI255" i="5"/>
  <c r="AH255" i="5"/>
  <c r="AJ311" i="5"/>
  <c r="AN127" i="5"/>
  <c r="AO127" i="5"/>
  <c r="AN159" i="5"/>
  <c r="AO159" i="5"/>
  <c r="AJ183" i="5"/>
  <c r="AH23" i="5"/>
  <c r="AI23" i="5"/>
  <c r="AJ55" i="5"/>
  <c r="AO87" i="5"/>
  <c r="AN87" i="5"/>
  <c r="V278" i="5"/>
  <c r="U62" i="5"/>
  <c r="V62" i="5"/>
  <c r="U209" i="5"/>
  <c r="V209" i="5"/>
  <c r="U116" i="5"/>
  <c r="V116" i="5"/>
  <c r="U29" i="5"/>
  <c r="V29" i="5"/>
  <c r="AO554" i="5"/>
  <c r="AN554" i="5"/>
  <c r="AJ432" i="5"/>
  <c r="AN496" i="5"/>
  <c r="AO496" i="5"/>
  <c r="AJ328" i="5"/>
  <c r="AI368" i="5"/>
  <c r="AH368" i="5"/>
  <c r="AJ224" i="5"/>
  <c r="AN256" i="5"/>
  <c r="AO256" i="5"/>
  <c r="AJ280" i="5"/>
  <c r="U120" i="5"/>
  <c r="V120" i="5"/>
  <c r="AJ152" i="5"/>
  <c r="AO176" i="5"/>
  <c r="AN176" i="5"/>
  <c r="AJ200" i="5"/>
  <c r="AJ40" i="5"/>
  <c r="AI56" i="5"/>
  <c r="AH56" i="5"/>
  <c r="AJ88" i="5"/>
  <c r="AJ217" i="5"/>
  <c r="V114" i="4"/>
  <c r="V143" i="4" l="1"/>
  <c r="AS127" i="4"/>
  <c r="AS30" i="4"/>
  <c r="V112" i="4"/>
  <c r="V64" i="4"/>
  <c r="V103" i="4"/>
  <c r="AS64" i="4"/>
  <c r="V113" i="4"/>
  <c r="AM113" i="4" s="1"/>
  <c r="AN113" i="4" s="1"/>
  <c r="AS36" i="4"/>
  <c r="U50" i="4"/>
  <c r="AS103" i="4"/>
  <c r="AS19" i="4"/>
  <c r="U114" i="4"/>
  <c r="AH114" i="4" s="1"/>
  <c r="AS119" i="4"/>
  <c r="V13" i="4"/>
  <c r="U36" i="4"/>
  <c r="AH36" i="4" s="1"/>
  <c r="U13" i="4"/>
  <c r="U103" i="4"/>
  <c r="U19" i="4"/>
  <c r="AS114" i="4"/>
  <c r="U90" i="4"/>
  <c r="AH90" i="4" s="1"/>
  <c r="V93" i="4"/>
  <c r="U139" i="4"/>
  <c r="AH139" i="4" s="1"/>
  <c r="AS151" i="4"/>
  <c r="AS88" i="4"/>
  <c r="AS92" i="4"/>
  <c r="U137" i="4"/>
  <c r="AS153" i="4"/>
  <c r="U92" i="4"/>
  <c r="AH92" i="4" s="1"/>
  <c r="U85" i="4"/>
  <c r="AH85" i="4" s="1"/>
  <c r="AS40" i="4"/>
  <c r="U27" i="4"/>
  <c r="AH27" i="4" s="1"/>
  <c r="U40" i="4"/>
  <c r="U78" i="4"/>
  <c r="U88" i="4"/>
  <c r="AS89" i="4"/>
  <c r="V88" i="4"/>
  <c r="AS27" i="4"/>
  <c r="U107" i="4"/>
  <c r="AH107" i="4" s="1"/>
  <c r="AS83" i="4"/>
  <c r="U119" i="4"/>
  <c r="U32" i="4"/>
  <c r="U150" i="4"/>
  <c r="U69" i="4"/>
  <c r="AH69" i="4" s="1"/>
  <c r="V107" i="4"/>
  <c r="U83" i="4"/>
  <c r="AH83" i="4" s="1"/>
  <c r="V119" i="4"/>
  <c r="V36" i="4"/>
  <c r="AM36" i="4" s="1"/>
  <c r="AN36" i="4" s="1"/>
  <c r="AS50" i="4"/>
  <c r="V19" i="4"/>
  <c r="U64" i="4"/>
  <c r="AS107" i="4"/>
  <c r="U65" i="4"/>
  <c r="AH65" i="4" s="1"/>
  <c r="AS32" i="4"/>
  <c r="V150" i="4"/>
  <c r="U113" i="4"/>
  <c r="AH113" i="4" s="1"/>
  <c r="U124" i="4"/>
  <c r="AS65" i="4"/>
  <c r="V32" i="4"/>
  <c r="V53" i="4"/>
  <c r="V69" i="4"/>
  <c r="AS150" i="4"/>
  <c r="AS113" i="4"/>
  <c r="AS124" i="4"/>
  <c r="U112" i="4"/>
  <c r="V65" i="4"/>
  <c r="AS13" i="4"/>
  <c r="U53" i="4"/>
  <c r="AH53" i="4" s="1"/>
  <c r="AS69" i="4"/>
  <c r="AL43" i="5"/>
  <c r="AI242" i="5"/>
  <c r="AH303" i="5"/>
  <c r="AH209" i="5"/>
  <c r="AI68" i="5"/>
  <c r="AH246" i="5"/>
  <c r="AI172" i="5"/>
  <c r="AI279" i="5"/>
  <c r="AI453" i="5"/>
  <c r="AI508" i="5"/>
  <c r="AI502" i="5"/>
  <c r="AI170" i="5"/>
  <c r="AI537" i="5"/>
  <c r="AI253" i="5"/>
  <c r="AH193" i="5"/>
  <c r="AI204" i="5"/>
  <c r="AH147" i="5"/>
  <c r="AI90" i="5"/>
  <c r="AH215" i="5"/>
  <c r="AH317" i="5"/>
  <c r="AI550" i="5"/>
  <c r="AH297" i="5"/>
  <c r="AH85" i="5"/>
  <c r="AI137" i="5"/>
  <c r="AH407" i="5"/>
  <c r="AI275" i="5"/>
  <c r="AH311" i="5"/>
  <c r="AH298" i="5"/>
  <c r="AH292" i="5"/>
  <c r="AI195" i="5"/>
  <c r="AI125" i="5"/>
  <c r="AH71" i="5"/>
  <c r="AO343" i="5"/>
  <c r="AN352" i="5"/>
  <c r="AN259" i="5"/>
  <c r="AI427" i="5"/>
  <c r="AI75" i="5"/>
  <c r="AH266" i="5"/>
  <c r="AI180" i="5"/>
  <c r="AP516" i="5"/>
  <c r="AQ516" i="5" s="1"/>
  <c r="AI514" i="5"/>
  <c r="AH514" i="5"/>
  <c r="AI515" i="5"/>
  <c r="AH515" i="5"/>
  <c r="AI322" i="5"/>
  <c r="AH322" i="5"/>
  <c r="AI67" i="5"/>
  <c r="AH435" i="5"/>
  <c r="AI481" i="5"/>
  <c r="AH481" i="5"/>
  <c r="AH500" i="5"/>
  <c r="AH339" i="5"/>
  <c r="AH124" i="5"/>
  <c r="AI124" i="5"/>
  <c r="AI367" i="5"/>
  <c r="AH367" i="5"/>
  <c r="AI268" i="5"/>
  <c r="AH268" i="5"/>
  <c r="AH163" i="5"/>
  <c r="AI163" i="5"/>
  <c r="AI265" i="5"/>
  <c r="AH186" i="5"/>
  <c r="AI186" i="5"/>
  <c r="AI161" i="5"/>
  <c r="AH84" i="5"/>
  <c r="AI84" i="5"/>
  <c r="AH293" i="5"/>
  <c r="AI293" i="5"/>
  <c r="AH207" i="5"/>
  <c r="AI207" i="5"/>
  <c r="AH100" i="5"/>
  <c r="AI100" i="5"/>
  <c r="AH74" i="5"/>
  <c r="AI74" i="5"/>
  <c r="AH511" i="5"/>
  <c r="AI511" i="5"/>
  <c r="AI83" i="5"/>
  <c r="AH83" i="5"/>
  <c r="AI442" i="5"/>
  <c r="AH442" i="5"/>
  <c r="AH247" i="5"/>
  <c r="AI247" i="5"/>
  <c r="AH251" i="5"/>
  <c r="AI251" i="5"/>
  <c r="AH518" i="5"/>
  <c r="AI518" i="5"/>
  <c r="AI206" i="5"/>
  <c r="AI230" i="5"/>
  <c r="AH230" i="5"/>
  <c r="AH61" i="5"/>
  <c r="AI61" i="5"/>
  <c r="AH132" i="5"/>
  <c r="AI132" i="5"/>
  <c r="AH315" i="5"/>
  <c r="AI475" i="5"/>
  <c r="AH475" i="5"/>
  <c r="AI414" i="5"/>
  <c r="AH414" i="5"/>
  <c r="AN260" i="5"/>
  <c r="AO488" i="5"/>
  <c r="AO164" i="5"/>
  <c r="AN89" i="5"/>
  <c r="AO118" i="5"/>
  <c r="AO145" i="5"/>
  <c r="AI295" i="5"/>
  <c r="AH295" i="5"/>
  <c r="AO543" i="5"/>
  <c r="AN497" i="5"/>
  <c r="AO92" i="5"/>
  <c r="AH271" i="5"/>
  <c r="AI271" i="5"/>
  <c r="AN455" i="5"/>
  <c r="AO53" i="5"/>
  <c r="AO423" i="5"/>
  <c r="AO174" i="5"/>
  <c r="AN388" i="5"/>
  <c r="AN157" i="5"/>
  <c r="AN374" i="5"/>
  <c r="AO8" i="5"/>
  <c r="AO473" i="5"/>
  <c r="AN296" i="5"/>
  <c r="AO263" i="5"/>
  <c r="AO301" i="5"/>
  <c r="AO185" i="5"/>
  <c r="AN347" i="5"/>
  <c r="AO409" i="5"/>
  <c r="AN265" i="5"/>
  <c r="AN43" i="5"/>
  <c r="AP548" i="5"/>
  <c r="AQ548" i="5" s="1"/>
  <c r="AN200" i="5"/>
  <c r="AL465" i="5"/>
  <c r="AO431" i="5"/>
  <c r="AO484" i="5"/>
  <c r="AP141" i="5"/>
  <c r="AQ141" i="5" s="1"/>
  <c r="AP386" i="5"/>
  <c r="AQ386" i="5" s="1"/>
  <c r="AP437" i="5"/>
  <c r="AR437" i="5" s="1"/>
  <c r="AP552" i="5"/>
  <c r="AQ552" i="5" s="1"/>
  <c r="AP465" i="5"/>
  <c r="AR465" i="5" s="1"/>
  <c r="AP234" i="5"/>
  <c r="AQ234" i="5" s="1"/>
  <c r="AK147" i="5"/>
  <c r="AP283" i="5"/>
  <c r="AO96" i="5"/>
  <c r="AN160" i="5"/>
  <c r="AN526" i="5"/>
  <c r="AO383" i="5"/>
  <c r="AN486" i="5"/>
  <c r="AN289" i="5"/>
  <c r="AO551" i="5"/>
  <c r="AN328" i="5"/>
  <c r="W12" i="5"/>
  <c r="AN404" i="5"/>
  <c r="AO536" i="5"/>
  <c r="AN163" i="5"/>
  <c r="AO156" i="5"/>
  <c r="AO33" i="5"/>
  <c r="AO465" i="5"/>
  <c r="AO97" i="5"/>
  <c r="AI479" i="5"/>
  <c r="AH479" i="5"/>
  <c r="AP356" i="5"/>
  <c r="AN547" i="5"/>
  <c r="AN112" i="5"/>
  <c r="AN335" i="5"/>
  <c r="AP521" i="5"/>
  <c r="AO413" i="5"/>
  <c r="AO534" i="5"/>
  <c r="AN341" i="5"/>
  <c r="AO131" i="5"/>
  <c r="AN560" i="5"/>
  <c r="AN172" i="5"/>
  <c r="AO326" i="5"/>
  <c r="AN532" i="5"/>
  <c r="AN211" i="5"/>
  <c r="AN435" i="5"/>
  <c r="AO23" i="5"/>
  <c r="AN136" i="5"/>
  <c r="AG12" i="5"/>
  <c r="AO113" i="5"/>
  <c r="AK307" i="5"/>
  <c r="AN251" i="5"/>
  <c r="AN129" i="5"/>
  <c r="AO521" i="5"/>
  <c r="AO147" i="5"/>
  <c r="AI282" i="5"/>
  <c r="AH282" i="5"/>
  <c r="AH471" i="5"/>
  <c r="AI471" i="5"/>
  <c r="AO45" i="5"/>
  <c r="AP43" i="5"/>
  <c r="AP379" i="5"/>
  <c r="AQ379" i="5" s="1"/>
  <c r="AP147" i="5"/>
  <c r="AR147" i="5" s="1"/>
  <c r="AP313" i="5"/>
  <c r="AR313" i="5" s="1"/>
  <c r="AS136" i="4"/>
  <c r="V154" i="4"/>
  <c r="V153" i="4"/>
  <c r="W153" i="4" s="1"/>
  <c r="Y153" i="4" s="1"/>
  <c r="Z153" i="4" s="1"/>
  <c r="V151" i="4"/>
  <c r="V120" i="4"/>
  <c r="W120" i="4" s="1"/>
  <c r="Y120" i="4" s="1"/>
  <c r="U81" i="4"/>
  <c r="AH81" i="4" s="1"/>
  <c r="V92" i="4"/>
  <c r="AM92" i="4" s="1"/>
  <c r="AN92" i="4" s="1"/>
  <c r="AS93" i="4"/>
  <c r="V8" i="4"/>
  <c r="AS108" i="4"/>
  <c r="AS24" i="4"/>
  <c r="U28" i="4"/>
  <c r="V138" i="4"/>
  <c r="AM138" i="4" s="1"/>
  <c r="AN138" i="4" s="1"/>
  <c r="AS120" i="4"/>
  <c r="V81" i="4"/>
  <c r="AM81" i="4" s="1"/>
  <c r="AN81" i="4" s="1"/>
  <c r="V17" i="4"/>
  <c r="AM17" i="4" s="1"/>
  <c r="AN17" i="4" s="1"/>
  <c r="U89" i="4"/>
  <c r="AH89" i="4" s="1"/>
  <c r="AS78" i="4"/>
  <c r="AS138" i="4"/>
  <c r="U82" i="4"/>
  <c r="AS85" i="4"/>
  <c r="AS45" i="4"/>
  <c r="U23" i="4"/>
  <c r="AH23" i="4" s="1"/>
  <c r="U44" i="4"/>
  <c r="AH44" i="4" s="1"/>
  <c r="U45" i="4"/>
  <c r="AH45" i="4" s="1"/>
  <c r="AS104" i="4"/>
  <c r="AS28" i="4"/>
  <c r="V89" i="4"/>
  <c r="V78" i="4"/>
  <c r="U138" i="4"/>
  <c r="V85" i="4"/>
  <c r="AM85" i="4" s="1"/>
  <c r="AN85" i="4" s="1"/>
  <c r="V45" i="4"/>
  <c r="AM45" i="4" s="1"/>
  <c r="AN45" i="4" s="1"/>
  <c r="V23" i="4"/>
  <c r="V40" i="4"/>
  <c r="V96" i="4"/>
  <c r="AM96" i="4" s="1"/>
  <c r="AN96" i="4" s="1"/>
  <c r="V139" i="4"/>
  <c r="U17" i="4"/>
  <c r="AH17" i="4" s="1"/>
  <c r="U80" i="4"/>
  <c r="AH80" i="4" s="1"/>
  <c r="AS82" i="4"/>
  <c r="AS23" i="4"/>
  <c r="AS44" i="4"/>
  <c r="V54" i="4"/>
  <c r="U104" i="4"/>
  <c r="AH104" i="4" s="1"/>
  <c r="V27" i="4"/>
  <c r="V104" i="4"/>
  <c r="V136" i="4"/>
  <c r="AM136" i="4" s="1"/>
  <c r="AN136" i="4" s="1"/>
  <c r="AS139" i="4"/>
  <c r="AS17" i="4"/>
  <c r="AS80" i="4"/>
  <c r="U154" i="4"/>
  <c r="AH154" i="4" s="1"/>
  <c r="U153" i="4"/>
  <c r="AH153" i="4" s="1"/>
  <c r="U151" i="4"/>
  <c r="V82" i="4"/>
  <c r="AM82" i="4" s="1"/>
  <c r="AN82" i="4" s="1"/>
  <c r="V137" i="4"/>
  <c r="W137" i="4" s="1"/>
  <c r="U93" i="4"/>
  <c r="AH93" i="4" s="1"/>
  <c r="V44" i="4"/>
  <c r="W44" i="4" s="1"/>
  <c r="Y44" i="4" s="1"/>
  <c r="V108" i="4"/>
  <c r="AS54" i="4"/>
  <c r="AP187" i="5"/>
  <c r="AR187" i="5" s="1"/>
  <c r="V98" i="4"/>
  <c r="W98" i="4" s="1"/>
  <c r="Y98" i="4" s="1"/>
  <c r="AP109" i="5"/>
  <c r="AQ109" i="5" s="1"/>
  <c r="AP383" i="5"/>
  <c r="AQ383" i="5" s="1"/>
  <c r="S526" i="5"/>
  <c r="AO209" i="5"/>
  <c r="AN462" i="5"/>
  <c r="AP371" i="5"/>
  <c r="AQ371" i="5" s="1"/>
  <c r="AN240" i="5"/>
  <c r="V219" i="5"/>
  <c r="AN467" i="5"/>
  <c r="AS126" i="4"/>
  <c r="U38" i="4"/>
  <c r="AH38" i="4" s="1"/>
  <c r="V102" i="4"/>
  <c r="AM102" i="4" s="1"/>
  <c r="AN102" i="4" s="1"/>
  <c r="AO58" i="5"/>
  <c r="AN61" i="5"/>
  <c r="U77" i="5"/>
  <c r="AO132" i="5"/>
  <c r="AO114" i="5"/>
  <c r="AO106" i="5"/>
  <c r="V49" i="4"/>
  <c r="W49" i="4" s="1"/>
  <c r="Y49" i="4" s="1"/>
  <c r="V47" i="4"/>
  <c r="AM47" i="4" s="1"/>
  <c r="AN47" i="4" s="1"/>
  <c r="AO433" i="5"/>
  <c r="U71" i="4"/>
  <c r="AH71" i="4" s="1"/>
  <c r="V91" i="4"/>
  <c r="AM91" i="4" s="1"/>
  <c r="AN91" i="4" s="1"/>
  <c r="V127" i="4"/>
  <c r="AM127" i="4" s="1"/>
  <c r="AN127" i="4" s="1"/>
  <c r="AS38" i="4"/>
  <c r="U141" i="4"/>
  <c r="AH141" i="4" s="1"/>
  <c r="U73" i="4"/>
  <c r="AH73" i="4" s="1"/>
  <c r="V29" i="4"/>
  <c r="W29" i="4" s="1"/>
  <c r="Y29" i="4" s="1"/>
  <c r="AL371" i="5"/>
  <c r="AN81" i="5"/>
  <c r="AS97" i="4"/>
  <c r="U49" i="4"/>
  <c r="AH49" i="4" s="1"/>
  <c r="U86" i="5"/>
  <c r="AS47" i="4"/>
  <c r="AS71" i="4"/>
  <c r="AS111" i="4"/>
  <c r="U70" i="4"/>
  <c r="AH70" i="4" s="1"/>
  <c r="U127" i="4"/>
  <c r="AH127" i="4" s="1"/>
  <c r="V38" i="4"/>
  <c r="AM38" i="4" s="1"/>
  <c r="AN38" i="4" s="1"/>
  <c r="V136" i="5"/>
  <c r="AO491" i="5"/>
  <c r="AS11" i="4"/>
  <c r="V182" i="5"/>
  <c r="U29" i="4"/>
  <c r="AH29" i="4" s="1"/>
  <c r="AO24" i="5"/>
  <c r="AN384" i="5"/>
  <c r="AN444" i="5"/>
  <c r="AO447" i="5"/>
  <c r="AS49" i="4"/>
  <c r="V116" i="4"/>
  <c r="W116" i="4" s="1"/>
  <c r="V111" i="4"/>
  <c r="W111" i="4" s="1"/>
  <c r="Y111" i="4" s="1"/>
  <c r="AN140" i="5"/>
  <c r="U100" i="4"/>
  <c r="AH100" i="4" s="1"/>
  <c r="AN267" i="5"/>
  <c r="AO555" i="5"/>
  <c r="V18" i="4"/>
  <c r="AM18" i="4" s="1"/>
  <c r="AN18" i="4" s="1"/>
  <c r="V97" i="4"/>
  <c r="W97" i="4" s="1"/>
  <c r="Y97" i="4" s="1"/>
  <c r="AS29" i="4"/>
  <c r="AO550" i="5"/>
  <c r="AP166" i="5"/>
  <c r="AQ166" i="5" s="1"/>
  <c r="AP65" i="5"/>
  <c r="U55" i="4"/>
  <c r="AH55" i="4" s="1"/>
  <c r="AN396" i="5"/>
  <c r="U97" i="4"/>
  <c r="AH97" i="4" s="1"/>
  <c r="V167" i="5"/>
  <c r="AN412" i="5"/>
  <c r="AO450" i="5"/>
  <c r="U116" i="4"/>
  <c r="AH116" i="4" s="1"/>
  <c r="U30" i="4"/>
  <c r="AH30" i="4" s="1"/>
  <c r="U111" i="4"/>
  <c r="AH111" i="4" s="1"/>
  <c r="AS100" i="4"/>
  <c r="AO504" i="5"/>
  <c r="AN65" i="5"/>
  <c r="AO49" i="5"/>
  <c r="AN557" i="5"/>
  <c r="Y365" i="5"/>
  <c r="U76" i="4"/>
  <c r="AH76" i="4" s="1"/>
  <c r="AP491" i="5"/>
  <c r="AR491" i="5" s="1"/>
  <c r="AS55" i="4"/>
  <c r="AO116" i="5"/>
  <c r="V103" i="5"/>
  <c r="AS60" i="4"/>
  <c r="AN397" i="5"/>
  <c r="AS116" i="4"/>
  <c r="V86" i="4"/>
  <c r="V100" i="4"/>
  <c r="AS70" i="4"/>
  <c r="U10" i="4"/>
  <c r="AH10" i="4" s="1"/>
  <c r="AS76" i="4"/>
  <c r="V55" i="4"/>
  <c r="AM55" i="4" s="1"/>
  <c r="AN55" i="4" s="1"/>
  <c r="V11" i="4"/>
  <c r="AM11" i="4" s="1"/>
  <c r="AN11" i="4" s="1"/>
  <c r="V60" i="4"/>
  <c r="AM60" i="4" s="1"/>
  <c r="AN60" i="4" s="1"/>
  <c r="U68" i="4"/>
  <c r="AH68" i="4" s="1"/>
  <c r="V126" i="4"/>
  <c r="U86" i="4"/>
  <c r="AH86" i="4" s="1"/>
  <c r="V30" i="4"/>
  <c r="AM30" i="4" s="1"/>
  <c r="AN30" i="4" s="1"/>
  <c r="V70" i="4"/>
  <c r="W70" i="4" s="1"/>
  <c r="Y70" i="4" s="1"/>
  <c r="U102" i="4"/>
  <c r="AH102" i="4" s="1"/>
  <c r="AO225" i="5"/>
  <c r="AP273" i="5"/>
  <c r="AR273" i="5" s="1"/>
  <c r="V23" i="5"/>
  <c r="AS25" i="4"/>
  <c r="V104" i="5"/>
  <c r="AO432" i="5"/>
  <c r="U48" i="4"/>
  <c r="AH48" i="4" s="1"/>
  <c r="AO252" i="5"/>
  <c r="AO264" i="5"/>
  <c r="V106" i="4"/>
  <c r="AM106" i="4" s="1"/>
  <c r="AN106" i="4" s="1"/>
  <c r="V46" i="5"/>
  <c r="AN199" i="5"/>
  <c r="AO56" i="5"/>
  <c r="AN406" i="5"/>
  <c r="AS52" i="4"/>
  <c r="AO212" i="5"/>
  <c r="AO88" i="5"/>
  <c r="V146" i="4"/>
  <c r="W146" i="4" s="1"/>
  <c r="Y146" i="4" s="1"/>
  <c r="Z146" i="4" s="1"/>
  <c r="AP25" i="5"/>
  <c r="AR25" i="5" s="1"/>
  <c r="AP287" i="5"/>
  <c r="AR287" i="5" s="1"/>
  <c r="AP410" i="5"/>
  <c r="AR410" i="5" s="1"/>
  <c r="AP135" i="5"/>
  <c r="AP380" i="5"/>
  <c r="AQ380" i="5" s="1"/>
  <c r="AP153" i="5"/>
  <c r="AQ153" i="5" s="1"/>
  <c r="AS48" i="4"/>
  <c r="U106" i="4"/>
  <c r="AH106" i="4" s="1"/>
  <c r="AS31" i="4"/>
  <c r="AO371" i="5"/>
  <c r="AN363" i="5"/>
  <c r="AP225" i="5"/>
  <c r="AO239" i="5"/>
  <c r="AN420" i="5"/>
  <c r="V60" i="5"/>
  <c r="V48" i="5"/>
  <c r="V147" i="5"/>
  <c r="V75" i="4"/>
  <c r="U95" i="4"/>
  <c r="AH95" i="4" s="1"/>
  <c r="AS146" i="4"/>
  <c r="AP105" i="5"/>
  <c r="AQ105" i="5" s="1"/>
  <c r="V234" i="5"/>
  <c r="AP214" i="5"/>
  <c r="AQ214" i="5" s="1"/>
  <c r="AP527" i="5"/>
  <c r="AQ527" i="5" s="1"/>
  <c r="AP199" i="5"/>
  <c r="AQ199" i="5" s="1"/>
  <c r="AP250" i="5"/>
  <c r="AR250" i="5" s="1"/>
  <c r="AS110" i="4"/>
  <c r="U75" i="4"/>
  <c r="AH75" i="4" s="1"/>
  <c r="AS95" i="4"/>
  <c r="AO415" i="5"/>
  <c r="AN415" i="5"/>
  <c r="V74" i="4"/>
  <c r="AM74" i="4" s="1"/>
  <c r="AN74" i="4" s="1"/>
  <c r="U25" i="4"/>
  <c r="AH25" i="4" s="1"/>
  <c r="V110" i="4"/>
  <c r="AL225" i="5"/>
  <c r="AO451" i="5"/>
  <c r="AN451" i="5"/>
  <c r="AS7" i="4"/>
  <c r="V118" i="4"/>
  <c r="AM118" i="4" s="1"/>
  <c r="AO331" i="5"/>
  <c r="AN331" i="5"/>
  <c r="AI388" i="5"/>
  <c r="AH388" i="5"/>
  <c r="AH331" i="5"/>
  <c r="AI331" i="5"/>
  <c r="AH52" i="5"/>
  <c r="AI52" i="5"/>
  <c r="AH263" i="5"/>
  <c r="AI263" i="5"/>
  <c r="AN51" i="5"/>
  <c r="AO51" i="5"/>
  <c r="AP556" i="5"/>
  <c r="AP58" i="5"/>
  <c r="AR58" i="5" s="1"/>
  <c r="AP175" i="5"/>
  <c r="AQ175" i="5" s="1"/>
  <c r="AP130" i="5"/>
  <c r="AQ130" i="5" s="1"/>
  <c r="V25" i="4"/>
  <c r="AM25" i="4" s="1"/>
  <c r="AN25" i="4" s="1"/>
  <c r="U257" i="5"/>
  <c r="AS75" i="4"/>
  <c r="V63" i="4"/>
  <c r="AM63" i="4" s="1"/>
  <c r="AN63" i="4" s="1"/>
  <c r="S480" i="5"/>
  <c r="V35" i="4"/>
  <c r="AM35" i="4" s="1"/>
  <c r="AN35" i="4" s="1"/>
  <c r="V76" i="4"/>
  <c r="AM76" i="4" s="1"/>
  <c r="AN76" i="4" s="1"/>
  <c r="AI399" i="5"/>
  <c r="AH399" i="5"/>
  <c r="AH329" i="5"/>
  <c r="AI329" i="5"/>
  <c r="AO499" i="5"/>
  <c r="AN499" i="5"/>
  <c r="AP333" i="5"/>
  <c r="AQ333" i="5" s="1"/>
  <c r="U63" i="4"/>
  <c r="AH63" i="4" s="1"/>
  <c r="AS35" i="4"/>
  <c r="V9" i="4"/>
  <c r="W9" i="4" s="1"/>
  <c r="Y9" i="4" s="1"/>
  <c r="Z9" i="4" s="1"/>
  <c r="AF9" i="4" s="1"/>
  <c r="AI369" i="5"/>
  <c r="AH369" i="5"/>
  <c r="AI241" i="5"/>
  <c r="AH241" i="5"/>
  <c r="AH431" i="5"/>
  <c r="AI431" i="5"/>
  <c r="AN427" i="5"/>
  <c r="AO427" i="5"/>
  <c r="AN539" i="5"/>
  <c r="AO539" i="5"/>
  <c r="AP354" i="5"/>
  <c r="AQ354" i="5" s="1"/>
  <c r="AP450" i="5"/>
  <c r="AP324" i="5"/>
  <c r="AR324" i="5" s="1"/>
  <c r="U35" i="4"/>
  <c r="AH35" i="4" s="1"/>
  <c r="AS63" i="4"/>
  <c r="U12" i="4"/>
  <c r="AH12" i="4" s="1"/>
  <c r="U9" i="4"/>
  <c r="AH9" i="4" s="1"/>
  <c r="AO305" i="5"/>
  <c r="AH53" i="5"/>
  <c r="AI53" i="5"/>
  <c r="AI95" i="5"/>
  <c r="AH95" i="5"/>
  <c r="AI191" i="5"/>
  <c r="AH191" i="5"/>
  <c r="AN73" i="5"/>
  <c r="AO73" i="5"/>
  <c r="AP432" i="5"/>
  <c r="AQ432" i="5" s="1"/>
  <c r="AP69" i="5"/>
  <c r="AP390" i="5"/>
  <c r="AQ390" i="5" s="1"/>
  <c r="AP178" i="5"/>
  <c r="AQ178" i="5" s="1"/>
  <c r="AP355" i="5"/>
  <c r="AR355" i="5" s="1"/>
  <c r="AP217" i="5"/>
  <c r="AR217" i="5" s="1"/>
  <c r="AP290" i="5"/>
  <c r="AQ290" i="5" s="1"/>
  <c r="AP365" i="5"/>
  <c r="AQ365" i="5" s="1"/>
  <c r="AP396" i="5"/>
  <c r="AR396" i="5" s="1"/>
  <c r="AP314" i="5"/>
  <c r="AP301" i="5"/>
  <c r="AR301" i="5" s="1"/>
  <c r="AP528" i="5"/>
  <c r="AR528" i="5" s="1"/>
  <c r="AP173" i="5"/>
  <c r="AR173" i="5" s="1"/>
  <c r="U74" i="4"/>
  <c r="AH74" i="4" s="1"/>
  <c r="AS106" i="4"/>
  <c r="V31" i="4"/>
  <c r="U110" i="4"/>
  <c r="AH110" i="4" s="1"/>
  <c r="AP348" i="5"/>
  <c r="AP387" i="5"/>
  <c r="AR387" i="5" s="1"/>
  <c r="AK105" i="5"/>
  <c r="V123" i="4"/>
  <c r="W123" i="4" s="1"/>
  <c r="Y123" i="4" s="1"/>
  <c r="Z123" i="4" s="1"/>
  <c r="R554" i="5"/>
  <c r="AS12" i="4"/>
  <c r="AS9" i="4"/>
  <c r="U84" i="4"/>
  <c r="AH84" i="4" s="1"/>
  <c r="AI543" i="5"/>
  <c r="AH543" i="5"/>
  <c r="AH150" i="5"/>
  <c r="AI150" i="5"/>
  <c r="AI43" i="5"/>
  <c r="AH43" i="5"/>
  <c r="AN313" i="5"/>
  <c r="AO313" i="5"/>
  <c r="AO108" i="5"/>
  <c r="AN108" i="5"/>
  <c r="AP494" i="5"/>
  <c r="AR494" i="5" s="1"/>
  <c r="AP520" i="5"/>
  <c r="AQ520" i="5" s="1"/>
  <c r="AP48" i="5"/>
  <c r="AR48" i="5" s="1"/>
  <c r="AP267" i="5"/>
  <c r="AQ267" i="5" s="1"/>
  <c r="AP338" i="5"/>
  <c r="AQ338" i="5" s="1"/>
  <c r="AP332" i="5"/>
  <c r="AR332" i="5" s="1"/>
  <c r="AP157" i="5"/>
  <c r="AP304" i="5"/>
  <c r="V48" i="4"/>
  <c r="AM48" i="4" s="1"/>
  <c r="AN48" i="4" s="1"/>
  <c r="AS74" i="4"/>
  <c r="U31" i="4"/>
  <c r="AH31" i="4" s="1"/>
  <c r="AP434" i="5"/>
  <c r="AQ434" i="5" s="1"/>
  <c r="U7" i="4"/>
  <c r="AH7" i="4" s="1"/>
  <c r="U123" i="4"/>
  <c r="AH123" i="4" s="1"/>
  <c r="V52" i="4"/>
  <c r="W52" i="4" s="1"/>
  <c r="AN273" i="5"/>
  <c r="AO416" i="5"/>
  <c r="AH325" i="5"/>
  <c r="AI325" i="5"/>
  <c r="AI541" i="5"/>
  <c r="AH541" i="5"/>
  <c r="AP405" i="5"/>
  <c r="AQ405" i="5" s="1"/>
  <c r="AP212" i="5"/>
  <c r="AR212" i="5" s="1"/>
  <c r="AP461" i="5"/>
  <c r="AQ461" i="5" s="1"/>
  <c r="V7" i="4"/>
  <c r="AM7" i="4" s="1"/>
  <c r="AN7" i="4" s="1"/>
  <c r="AS123" i="4"/>
  <c r="U52" i="4"/>
  <c r="AH52" i="4" s="1"/>
  <c r="V95" i="4"/>
  <c r="AH430" i="5"/>
  <c r="AI430" i="5"/>
  <c r="AI342" i="5"/>
  <c r="AH342" i="5"/>
  <c r="AN171" i="5"/>
  <c r="AO171" i="5"/>
  <c r="B24" i="2"/>
  <c r="R88" i="5"/>
  <c r="R328" i="5"/>
  <c r="Y65" i="5"/>
  <c r="Y135" i="5"/>
  <c r="Y181" i="5"/>
  <c r="Y416" i="5"/>
  <c r="X206" i="5"/>
  <c r="X204" i="5"/>
  <c r="X74" i="5"/>
  <c r="Z560" i="5"/>
  <c r="AA560" i="5" s="1"/>
  <c r="Z552" i="5"/>
  <c r="AB552" i="5" s="1"/>
  <c r="Z544" i="5"/>
  <c r="AB544" i="5" s="1"/>
  <c r="Z536" i="5"/>
  <c r="Z528" i="5"/>
  <c r="Z520" i="5"/>
  <c r="AB520" i="5" s="1"/>
  <c r="Z512" i="5"/>
  <c r="Z504" i="5"/>
  <c r="AB504" i="5" s="1"/>
  <c r="Z496" i="5"/>
  <c r="Z488" i="5"/>
  <c r="AB488" i="5" s="1"/>
  <c r="Z480" i="5"/>
  <c r="AB480" i="5" s="1"/>
  <c r="Z472" i="5"/>
  <c r="AA472" i="5" s="1"/>
  <c r="Z464" i="5"/>
  <c r="AA464" i="5" s="1"/>
  <c r="Z456" i="5"/>
  <c r="AA456" i="5" s="1"/>
  <c r="Z448" i="5"/>
  <c r="AA448" i="5" s="1"/>
  <c r="Z440" i="5"/>
  <c r="Z432" i="5"/>
  <c r="Z424" i="5"/>
  <c r="AB424" i="5" s="1"/>
  <c r="Z416" i="5"/>
  <c r="AA416" i="5" s="1"/>
  <c r="Z408" i="5"/>
  <c r="AB408" i="5" s="1"/>
  <c r="Z400" i="5"/>
  <c r="AA400" i="5" s="1"/>
  <c r="Z392" i="5"/>
  <c r="AB392" i="5" s="1"/>
  <c r="Z384" i="5"/>
  <c r="AA384" i="5" s="1"/>
  <c r="Z376" i="5"/>
  <c r="AB376" i="5" s="1"/>
  <c r="Z368" i="5"/>
  <c r="AA368" i="5" s="1"/>
  <c r="Z360" i="5"/>
  <c r="AA360" i="5" s="1"/>
  <c r="Z352" i="5"/>
  <c r="AB352" i="5" s="1"/>
  <c r="Z344" i="5"/>
  <c r="Z336" i="5"/>
  <c r="AB336" i="5" s="1"/>
  <c r="Z328" i="5"/>
  <c r="AB328" i="5" s="1"/>
  <c r="Z320" i="5"/>
  <c r="AA320" i="5" s="1"/>
  <c r="Z312" i="5"/>
  <c r="AA312" i="5" s="1"/>
  <c r="Z304" i="5"/>
  <c r="AB304" i="5" s="1"/>
  <c r="Z296" i="5"/>
  <c r="AB296" i="5" s="1"/>
  <c r="Z288" i="5"/>
  <c r="AA288" i="5" s="1"/>
  <c r="Z280" i="5"/>
  <c r="Z272" i="5"/>
  <c r="AA272" i="5" s="1"/>
  <c r="Z264" i="5"/>
  <c r="Z256" i="5"/>
  <c r="AB256" i="5" s="1"/>
  <c r="Z248" i="5"/>
  <c r="Z240" i="5"/>
  <c r="Z232" i="5"/>
  <c r="Z224" i="5"/>
  <c r="AB224" i="5" s="1"/>
  <c r="Z216" i="5"/>
  <c r="Z208" i="5"/>
  <c r="AA208" i="5" s="1"/>
  <c r="Z200" i="5"/>
  <c r="Z192" i="5"/>
  <c r="AB192" i="5" s="1"/>
  <c r="Z184" i="5"/>
  <c r="Z176" i="5"/>
  <c r="AB176" i="5" s="1"/>
  <c r="Z168" i="5"/>
  <c r="AB168" i="5" s="1"/>
  <c r="Z160" i="5"/>
  <c r="AB160" i="5" s="1"/>
  <c r="Z152" i="5"/>
  <c r="AB152" i="5" s="1"/>
  <c r="Z144" i="5"/>
  <c r="AA144" i="5" s="1"/>
  <c r="Z136" i="5"/>
  <c r="Z128" i="5"/>
  <c r="AA128" i="5" s="1"/>
  <c r="Z112" i="5"/>
  <c r="AA112" i="5" s="1"/>
  <c r="Z96" i="5"/>
  <c r="AA96" i="5" s="1"/>
  <c r="Z80" i="5"/>
  <c r="AA80" i="5" s="1"/>
  <c r="Z56" i="5"/>
  <c r="AB56" i="5" s="1"/>
  <c r="Z34" i="5"/>
  <c r="AA34" i="5" s="1"/>
  <c r="Z29" i="5"/>
  <c r="AB29" i="5" s="1"/>
  <c r="Z559" i="5"/>
  <c r="Z551" i="5"/>
  <c r="AB551" i="5" s="1"/>
  <c r="Z543" i="5"/>
  <c r="AB543" i="5" s="1"/>
  <c r="Z535" i="5"/>
  <c r="AA535" i="5" s="1"/>
  <c r="Z527" i="5"/>
  <c r="AA527" i="5" s="1"/>
  <c r="Z519" i="5"/>
  <c r="AB519" i="5" s="1"/>
  <c r="Z511" i="5"/>
  <c r="AA511" i="5" s="1"/>
  <c r="Z503" i="5"/>
  <c r="AB503" i="5" s="1"/>
  <c r="Z495" i="5"/>
  <c r="AB495" i="5" s="1"/>
  <c r="Z487" i="5"/>
  <c r="AA487" i="5" s="1"/>
  <c r="Z479" i="5"/>
  <c r="Z471" i="5"/>
  <c r="AA471" i="5" s="1"/>
  <c r="Z463" i="5"/>
  <c r="AA463" i="5" s="1"/>
  <c r="Z455" i="5"/>
  <c r="AB455" i="5" s="1"/>
  <c r="Z447" i="5"/>
  <c r="AA447" i="5" s="1"/>
  <c r="Z439" i="5"/>
  <c r="AA439" i="5" s="1"/>
  <c r="Z431" i="5"/>
  <c r="AA431" i="5" s="1"/>
  <c r="Z423" i="5"/>
  <c r="AB423" i="5" s="1"/>
  <c r="Z415" i="5"/>
  <c r="AB415" i="5" s="1"/>
  <c r="Z407" i="5"/>
  <c r="AB407" i="5" s="1"/>
  <c r="Z399" i="5"/>
  <c r="Z391" i="5"/>
  <c r="AB391" i="5" s="1"/>
  <c r="Z383" i="5"/>
  <c r="AB383" i="5" s="1"/>
  <c r="Z375" i="5"/>
  <c r="AB375" i="5" s="1"/>
  <c r="Z367" i="5"/>
  <c r="AA367" i="5" s="1"/>
  <c r="Z359" i="5"/>
  <c r="AA359" i="5" s="1"/>
  <c r="Z351" i="5"/>
  <c r="AA351" i="5" s="1"/>
  <c r="Z343" i="5"/>
  <c r="AB343" i="5" s="1"/>
  <c r="Z335" i="5"/>
  <c r="AA335" i="5" s="1"/>
  <c r="Z327" i="5"/>
  <c r="AA327" i="5" s="1"/>
  <c r="Z319" i="5"/>
  <c r="AB319" i="5" s="1"/>
  <c r="Z311" i="5"/>
  <c r="AB311" i="5" s="1"/>
  <c r="Z303" i="5"/>
  <c r="AB303" i="5" s="1"/>
  <c r="Z295" i="5"/>
  <c r="Z287" i="5"/>
  <c r="AA287" i="5" s="1"/>
  <c r="Z279" i="5"/>
  <c r="Z271" i="5"/>
  <c r="AA271" i="5" s="1"/>
  <c r="Z263" i="5"/>
  <c r="AB263" i="5" s="1"/>
  <c r="Z255" i="5"/>
  <c r="AA255" i="5" s="1"/>
  <c r="Z247" i="5"/>
  <c r="AA247" i="5" s="1"/>
  <c r="Z239" i="5"/>
  <c r="AB239" i="5" s="1"/>
  <c r="Z231" i="5"/>
  <c r="AB231" i="5" s="1"/>
  <c r="Z223" i="5"/>
  <c r="AB223" i="5" s="1"/>
  <c r="Z215" i="5"/>
  <c r="AA215" i="5" s="1"/>
  <c r="Z207" i="5"/>
  <c r="AB207" i="5" s="1"/>
  <c r="Z199" i="5"/>
  <c r="AB199" i="5" s="1"/>
  <c r="Z191" i="5"/>
  <c r="AA191" i="5" s="1"/>
  <c r="Z183" i="5"/>
  <c r="Z175" i="5"/>
  <c r="AB175" i="5" s="1"/>
  <c r="Z167" i="5"/>
  <c r="AB167" i="5" s="1"/>
  <c r="Z159" i="5"/>
  <c r="AA159" i="5" s="1"/>
  <c r="Z151" i="5"/>
  <c r="AA151" i="5" s="1"/>
  <c r="Z143" i="5"/>
  <c r="AA143" i="5" s="1"/>
  <c r="Z135" i="5"/>
  <c r="AA135" i="5" s="1"/>
  <c r="Z127" i="5"/>
  <c r="Z119" i="5"/>
  <c r="AB119" i="5" s="1"/>
  <c r="Z111" i="5"/>
  <c r="AB111" i="5" s="1"/>
  <c r="Z103" i="5"/>
  <c r="AA103" i="5" s="1"/>
  <c r="Z95" i="5"/>
  <c r="AB95" i="5" s="1"/>
  <c r="Z87" i="5"/>
  <c r="AB87" i="5" s="1"/>
  <c r="Z79" i="5"/>
  <c r="AB79" i="5" s="1"/>
  <c r="Z71" i="5"/>
  <c r="AA71" i="5" s="1"/>
  <c r="Z63" i="5"/>
  <c r="AB63" i="5" s="1"/>
  <c r="Z55" i="5"/>
  <c r="AB55" i="5" s="1"/>
  <c r="Z47" i="5"/>
  <c r="AB47" i="5" s="1"/>
  <c r="Z39" i="5"/>
  <c r="AA39" i="5" s="1"/>
  <c r="Z33" i="5"/>
  <c r="Z25" i="5"/>
  <c r="AA25" i="5" s="1"/>
  <c r="Z12" i="5"/>
  <c r="Z166" i="5"/>
  <c r="AA166" i="5" s="1"/>
  <c r="Z150" i="5"/>
  <c r="AA150" i="5" s="1"/>
  <c r="Z134" i="5"/>
  <c r="Z118" i="5"/>
  <c r="AB118" i="5" s="1"/>
  <c r="Z102" i="5"/>
  <c r="Z78" i="5"/>
  <c r="Z62" i="5"/>
  <c r="AB62" i="5" s="1"/>
  <c r="Z54" i="5"/>
  <c r="AA54" i="5" s="1"/>
  <c r="Z32" i="5"/>
  <c r="AB32" i="5" s="1"/>
  <c r="Z10" i="5"/>
  <c r="AB10" i="5" s="1"/>
  <c r="Z131" i="5"/>
  <c r="AA131" i="5" s="1"/>
  <c r="Z91" i="5"/>
  <c r="AA91" i="5" s="1"/>
  <c r="Z43" i="5"/>
  <c r="AB43" i="5" s="1"/>
  <c r="Z558" i="5"/>
  <c r="Z550" i="5"/>
  <c r="AB550" i="5" s="1"/>
  <c r="Z542" i="5"/>
  <c r="AA542" i="5" s="1"/>
  <c r="Z534" i="5"/>
  <c r="Z526" i="5"/>
  <c r="AA526" i="5" s="1"/>
  <c r="Z518" i="5"/>
  <c r="AB518" i="5" s="1"/>
  <c r="Z510" i="5"/>
  <c r="AB510" i="5" s="1"/>
  <c r="Z502" i="5"/>
  <c r="AB502" i="5" s="1"/>
  <c r="Z494" i="5"/>
  <c r="AB494" i="5" s="1"/>
  <c r="Z486" i="5"/>
  <c r="AB486" i="5" s="1"/>
  <c r="Z478" i="5"/>
  <c r="AB478" i="5" s="1"/>
  <c r="Z470" i="5"/>
  <c r="AB470" i="5" s="1"/>
  <c r="Z462" i="5"/>
  <c r="AB462" i="5" s="1"/>
  <c r="Z454" i="5"/>
  <c r="AB454" i="5" s="1"/>
  <c r="Z446" i="5"/>
  <c r="Z438" i="5"/>
  <c r="AB438" i="5" s="1"/>
  <c r="Z430" i="5"/>
  <c r="AA430" i="5" s="1"/>
  <c r="Z422" i="5"/>
  <c r="AB422" i="5" s="1"/>
  <c r="Z414" i="5"/>
  <c r="AB414" i="5" s="1"/>
  <c r="Z406" i="5"/>
  <c r="AA406" i="5" s="1"/>
  <c r="Z398" i="5"/>
  <c r="Z390" i="5"/>
  <c r="AA390" i="5" s="1"/>
  <c r="Z382" i="5"/>
  <c r="AB382" i="5" s="1"/>
  <c r="Z374" i="5"/>
  <c r="AB374" i="5" s="1"/>
  <c r="Z366" i="5"/>
  <c r="AA366" i="5" s="1"/>
  <c r="Z358" i="5"/>
  <c r="AB358" i="5" s="1"/>
  <c r="Z350" i="5"/>
  <c r="AA350" i="5" s="1"/>
  <c r="Z342" i="5"/>
  <c r="Z334" i="5"/>
  <c r="AB334" i="5" s="1"/>
  <c r="Z326" i="5"/>
  <c r="AA326" i="5" s="1"/>
  <c r="Z318" i="5"/>
  <c r="AB318" i="5" s="1"/>
  <c r="Z310" i="5"/>
  <c r="Z302" i="5"/>
  <c r="AA302" i="5" s="1"/>
  <c r="Z294" i="5"/>
  <c r="AB294" i="5" s="1"/>
  <c r="Z286" i="5"/>
  <c r="AB286" i="5" s="1"/>
  <c r="Z278" i="5"/>
  <c r="AA278" i="5" s="1"/>
  <c r="Z270" i="5"/>
  <c r="AA270" i="5" s="1"/>
  <c r="Z262" i="5"/>
  <c r="AA262" i="5" s="1"/>
  <c r="Z254" i="5"/>
  <c r="AA254" i="5" s="1"/>
  <c r="Z246" i="5"/>
  <c r="AA246" i="5" s="1"/>
  <c r="Z238" i="5"/>
  <c r="Z230" i="5"/>
  <c r="AA230" i="5" s="1"/>
  <c r="Z222" i="5"/>
  <c r="AB222" i="5" s="1"/>
  <c r="Z214" i="5"/>
  <c r="AA214" i="5" s="1"/>
  <c r="Z206" i="5"/>
  <c r="AA206" i="5" s="1"/>
  <c r="Z198" i="5"/>
  <c r="Z190" i="5"/>
  <c r="AB190" i="5" s="1"/>
  <c r="Z182" i="5"/>
  <c r="Z174" i="5"/>
  <c r="AA174" i="5" s="1"/>
  <c r="Z158" i="5"/>
  <c r="Z142" i="5"/>
  <c r="AB142" i="5" s="1"/>
  <c r="Z126" i="5"/>
  <c r="Z110" i="5"/>
  <c r="AA110" i="5" s="1"/>
  <c r="Z94" i="5"/>
  <c r="AA94" i="5" s="1"/>
  <c r="Z86" i="5"/>
  <c r="AA86" i="5" s="1"/>
  <c r="Z70" i="5"/>
  <c r="AB70" i="5" s="1"/>
  <c r="Z46" i="5"/>
  <c r="Z38" i="5"/>
  <c r="AA38" i="5" s="1"/>
  <c r="Z24" i="5"/>
  <c r="Z147" i="5"/>
  <c r="Z107" i="5"/>
  <c r="AB107" i="5" s="1"/>
  <c r="Z67" i="5"/>
  <c r="Z7" i="5"/>
  <c r="AB7" i="5" s="1"/>
  <c r="Z557" i="5"/>
  <c r="AA557" i="5" s="1"/>
  <c r="Z549" i="5"/>
  <c r="AB549" i="5" s="1"/>
  <c r="Z541" i="5"/>
  <c r="Z533" i="5"/>
  <c r="AA533" i="5" s="1"/>
  <c r="Z525" i="5"/>
  <c r="AA525" i="5" s="1"/>
  <c r="Z517" i="5"/>
  <c r="AB517" i="5" s="1"/>
  <c r="Z509" i="5"/>
  <c r="AA509" i="5" s="1"/>
  <c r="Z501" i="5"/>
  <c r="AB501" i="5" s="1"/>
  <c r="Z493" i="5"/>
  <c r="AA493" i="5" s="1"/>
  <c r="Z485" i="5"/>
  <c r="AA485" i="5" s="1"/>
  <c r="Z477" i="5"/>
  <c r="AA477" i="5" s="1"/>
  <c r="Z469" i="5"/>
  <c r="AA469" i="5" s="1"/>
  <c r="Z461" i="5"/>
  <c r="AB461" i="5" s="1"/>
  <c r="Z453" i="5"/>
  <c r="AA453" i="5" s="1"/>
  <c r="Z445" i="5"/>
  <c r="AB445" i="5" s="1"/>
  <c r="Z437" i="5"/>
  <c r="AA437" i="5" s="1"/>
  <c r="Z429" i="5"/>
  <c r="AA429" i="5" s="1"/>
  <c r="Z421" i="5"/>
  <c r="AA421" i="5" s="1"/>
  <c r="Z413" i="5"/>
  <c r="AA413" i="5" s="1"/>
  <c r="Z405" i="5"/>
  <c r="AB405" i="5" s="1"/>
  <c r="Z397" i="5"/>
  <c r="AB397" i="5" s="1"/>
  <c r="Z389" i="5"/>
  <c r="AA389" i="5" s="1"/>
  <c r="Z381" i="5"/>
  <c r="Z373" i="5"/>
  <c r="AB373" i="5" s="1"/>
  <c r="Z365" i="5"/>
  <c r="Z357" i="5"/>
  <c r="AA357" i="5" s="1"/>
  <c r="Z349" i="5"/>
  <c r="Z341" i="5"/>
  <c r="AA341" i="5" s="1"/>
  <c r="Z333" i="5"/>
  <c r="AB333" i="5" s="1"/>
  <c r="Z325" i="5"/>
  <c r="Z317" i="5"/>
  <c r="AB317" i="5" s="1"/>
  <c r="Z309" i="5"/>
  <c r="AA309" i="5" s="1"/>
  <c r="Z301" i="5"/>
  <c r="AA301" i="5" s="1"/>
  <c r="Z293" i="5"/>
  <c r="AA293" i="5" s="1"/>
  <c r="Z285" i="5"/>
  <c r="Z277" i="5"/>
  <c r="AB277" i="5" s="1"/>
  <c r="Z269" i="5"/>
  <c r="AB269" i="5" s="1"/>
  <c r="Z261" i="5"/>
  <c r="AA261" i="5" s="1"/>
  <c r="Z253" i="5"/>
  <c r="Z245" i="5"/>
  <c r="Z237" i="5"/>
  <c r="Z229" i="5"/>
  <c r="Z221" i="5"/>
  <c r="AB221" i="5" s="1"/>
  <c r="Z213" i="5"/>
  <c r="AB213" i="5" s="1"/>
  <c r="Z205" i="5"/>
  <c r="AB205" i="5" s="1"/>
  <c r="Z197" i="5"/>
  <c r="Z189" i="5"/>
  <c r="AA189" i="5" s="1"/>
  <c r="Z181" i="5"/>
  <c r="AA181" i="5" s="1"/>
  <c r="Z173" i="5"/>
  <c r="Z165" i="5"/>
  <c r="AA165" i="5" s="1"/>
  <c r="Z157" i="5"/>
  <c r="AB157" i="5" s="1"/>
  <c r="Z149" i="5"/>
  <c r="AB149" i="5" s="1"/>
  <c r="Z141" i="5"/>
  <c r="Z133" i="5"/>
  <c r="AA133" i="5" s="1"/>
  <c r="Z125" i="5"/>
  <c r="AB125" i="5" s="1"/>
  <c r="Z117" i="5"/>
  <c r="AA117" i="5" s="1"/>
  <c r="Z109" i="5"/>
  <c r="AA109" i="5" s="1"/>
  <c r="Z101" i="5"/>
  <c r="AA101" i="5" s="1"/>
  <c r="Z93" i="5"/>
  <c r="AA93" i="5" s="1"/>
  <c r="Z85" i="5"/>
  <c r="AA85" i="5" s="1"/>
  <c r="Z77" i="5"/>
  <c r="AA77" i="5" s="1"/>
  <c r="Z69" i="5"/>
  <c r="AB69" i="5" s="1"/>
  <c r="Z61" i="5"/>
  <c r="AA61" i="5" s="1"/>
  <c r="Z53" i="5"/>
  <c r="AB53" i="5" s="1"/>
  <c r="Z45" i="5"/>
  <c r="Z37" i="5"/>
  <c r="AA37" i="5" s="1"/>
  <c r="Z31" i="5"/>
  <c r="AA31" i="5" s="1"/>
  <c r="Z23" i="5"/>
  <c r="AB23" i="5" s="1"/>
  <c r="Z148" i="5"/>
  <c r="AB148" i="5" s="1"/>
  <c r="Z132" i="5"/>
  <c r="AA132" i="5" s="1"/>
  <c r="Z124" i="5"/>
  <c r="AA124" i="5" s="1"/>
  <c r="Z108" i="5"/>
  <c r="AB108" i="5" s="1"/>
  <c r="Z92" i="5"/>
  <c r="AA92" i="5" s="1"/>
  <c r="Z84" i="5"/>
  <c r="AB84" i="5" s="1"/>
  <c r="Z68" i="5"/>
  <c r="Z52" i="5"/>
  <c r="AB52" i="5" s="1"/>
  <c r="Z36" i="5"/>
  <c r="AB36" i="5" s="1"/>
  <c r="Z22" i="5"/>
  <c r="Z171" i="5"/>
  <c r="AA171" i="5" s="1"/>
  <c r="Z139" i="5"/>
  <c r="AA139" i="5" s="1"/>
  <c r="Z123" i="5"/>
  <c r="AA123" i="5" s="1"/>
  <c r="Z83" i="5"/>
  <c r="AA83" i="5" s="1"/>
  <c r="Z51" i="5"/>
  <c r="AA51" i="5" s="1"/>
  <c r="Z556" i="5"/>
  <c r="Z548" i="5"/>
  <c r="AB548" i="5" s="1"/>
  <c r="Z540" i="5"/>
  <c r="AB540" i="5" s="1"/>
  <c r="Z532" i="5"/>
  <c r="AA532" i="5" s="1"/>
  <c r="Z524" i="5"/>
  <c r="AA524" i="5" s="1"/>
  <c r="Z516" i="5"/>
  <c r="AB516" i="5" s="1"/>
  <c r="Z508" i="5"/>
  <c r="Z500" i="5"/>
  <c r="Z492" i="5"/>
  <c r="AB492" i="5" s="1"/>
  <c r="Z484" i="5"/>
  <c r="AB484" i="5" s="1"/>
  <c r="Z476" i="5"/>
  <c r="Z468" i="5"/>
  <c r="AB468" i="5" s="1"/>
  <c r="Z460" i="5"/>
  <c r="AA460" i="5" s="1"/>
  <c r="Z452" i="5"/>
  <c r="AA452" i="5" s="1"/>
  <c r="Z444" i="5"/>
  <c r="AB444" i="5" s="1"/>
  <c r="Z436" i="5"/>
  <c r="AA436" i="5" s="1"/>
  <c r="Z428" i="5"/>
  <c r="AB428" i="5" s="1"/>
  <c r="Z420" i="5"/>
  <c r="AB420" i="5" s="1"/>
  <c r="Z412" i="5"/>
  <c r="AA412" i="5" s="1"/>
  <c r="Z404" i="5"/>
  <c r="AB404" i="5" s="1"/>
  <c r="Z396" i="5"/>
  <c r="AA396" i="5" s="1"/>
  <c r="Z388" i="5"/>
  <c r="AA388" i="5" s="1"/>
  <c r="Z380" i="5"/>
  <c r="AA380" i="5" s="1"/>
  <c r="Z372" i="5"/>
  <c r="AB372" i="5" s="1"/>
  <c r="Z364" i="5"/>
  <c r="AB364" i="5" s="1"/>
  <c r="Z356" i="5"/>
  <c r="AA356" i="5" s="1"/>
  <c r="Z348" i="5"/>
  <c r="AA348" i="5" s="1"/>
  <c r="Z340" i="5"/>
  <c r="AB340" i="5" s="1"/>
  <c r="Z332" i="5"/>
  <c r="AA332" i="5" s="1"/>
  <c r="Z324" i="5"/>
  <c r="AB324" i="5" s="1"/>
  <c r="Z316" i="5"/>
  <c r="AA316" i="5" s="1"/>
  <c r="Z308" i="5"/>
  <c r="Z300" i="5"/>
  <c r="Z292" i="5"/>
  <c r="AA292" i="5" s="1"/>
  <c r="Z284" i="5"/>
  <c r="AB284" i="5" s="1"/>
  <c r="Z276" i="5"/>
  <c r="AB276" i="5" s="1"/>
  <c r="Z268" i="5"/>
  <c r="AA268" i="5" s="1"/>
  <c r="Z260" i="5"/>
  <c r="AB260" i="5" s="1"/>
  <c r="Z252" i="5"/>
  <c r="AB252" i="5" s="1"/>
  <c r="Z244" i="5"/>
  <c r="AB244" i="5" s="1"/>
  <c r="Z236" i="5"/>
  <c r="AB236" i="5" s="1"/>
  <c r="Z228" i="5"/>
  <c r="AA228" i="5" s="1"/>
  <c r="Z220" i="5"/>
  <c r="AA220" i="5" s="1"/>
  <c r="Z212" i="5"/>
  <c r="AB212" i="5" s="1"/>
  <c r="Z204" i="5"/>
  <c r="Z196" i="5"/>
  <c r="AA196" i="5" s="1"/>
  <c r="Z188" i="5"/>
  <c r="AB188" i="5" s="1"/>
  <c r="Z180" i="5"/>
  <c r="AB180" i="5" s="1"/>
  <c r="Z172" i="5"/>
  <c r="AB172" i="5" s="1"/>
  <c r="Z164" i="5"/>
  <c r="AB164" i="5" s="1"/>
  <c r="Z156" i="5"/>
  <c r="AA156" i="5" s="1"/>
  <c r="Z140" i="5"/>
  <c r="AB140" i="5" s="1"/>
  <c r="Z116" i="5"/>
  <c r="AB116" i="5" s="1"/>
  <c r="Z100" i="5"/>
  <c r="AB100" i="5" s="1"/>
  <c r="Z76" i="5"/>
  <c r="AA76" i="5" s="1"/>
  <c r="Z60" i="5"/>
  <c r="AB60" i="5" s="1"/>
  <c r="Z44" i="5"/>
  <c r="Z30" i="5"/>
  <c r="AA30" i="5" s="1"/>
  <c r="Z8" i="5"/>
  <c r="AA8" i="5" s="1"/>
  <c r="Z155" i="5"/>
  <c r="AB155" i="5" s="1"/>
  <c r="Z99" i="5"/>
  <c r="Z59" i="5"/>
  <c r="AB59" i="5" s="1"/>
  <c r="Z555" i="5"/>
  <c r="Z547" i="5"/>
  <c r="AB547" i="5" s="1"/>
  <c r="Z539" i="5"/>
  <c r="AB539" i="5" s="1"/>
  <c r="Z531" i="5"/>
  <c r="AB531" i="5" s="1"/>
  <c r="Z523" i="5"/>
  <c r="AB523" i="5" s="1"/>
  <c r="Z515" i="5"/>
  <c r="AB515" i="5" s="1"/>
  <c r="Z507" i="5"/>
  <c r="AA507" i="5" s="1"/>
  <c r="Z499" i="5"/>
  <c r="AB499" i="5" s="1"/>
  <c r="Z491" i="5"/>
  <c r="AA491" i="5" s="1"/>
  <c r="Z483" i="5"/>
  <c r="Z475" i="5"/>
  <c r="AB475" i="5" s="1"/>
  <c r="Z467" i="5"/>
  <c r="AB467" i="5" s="1"/>
  <c r="Z459" i="5"/>
  <c r="AA459" i="5" s="1"/>
  <c r="Z451" i="5"/>
  <c r="Z443" i="5"/>
  <c r="AA443" i="5" s="1"/>
  <c r="Z435" i="5"/>
  <c r="AB435" i="5" s="1"/>
  <c r="Z427" i="5"/>
  <c r="Z419" i="5"/>
  <c r="AA419" i="5" s="1"/>
  <c r="Z411" i="5"/>
  <c r="AA411" i="5" s="1"/>
  <c r="Z403" i="5"/>
  <c r="AA403" i="5" s="1"/>
  <c r="Z395" i="5"/>
  <c r="Z387" i="5"/>
  <c r="AB387" i="5" s="1"/>
  <c r="Z379" i="5"/>
  <c r="AA379" i="5" s="1"/>
  <c r="Z371" i="5"/>
  <c r="AA371" i="5" s="1"/>
  <c r="Z363" i="5"/>
  <c r="AB363" i="5" s="1"/>
  <c r="Z355" i="5"/>
  <c r="AB355" i="5" s="1"/>
  <c r="Z347" i="5"/>
  <c r="AA347" i="5" s="1"/>
  <c r="Z339" i="5"/>
  <c r="Z331" i="5"/>
  <c r="AA331" i="5" s="1"/>
  <c r="Z323" i="5"/>
  <c r="Z315" i="5"/>
  <c r="AB315" i="5" s="1"/>
  <c r="Z307" i="5"/>
  <c r="AA307" i="5" s="1"/>
  <c r="Z299" i="5"/>
  <c r="AA299" i="5" s="1"/>
  <c r="Z291" i="5"/>
  <c r="AA291" i="5" s="1"/>
  <c r="Z283" i="5"/>
  <c r="AB283" i="5" s="1"/>
  <c r="Z275" i="5"/>
  <c r="AB275" i="5" s="1"/>
  <c r="Z267" i="5"/>
  <c r="AB267" i="5" s="1"/>
  <c r="Z259" i="5"/>
  <c r="AA259" i="5" s="1"/>
  <c r="Z251" i="5"/>
  <c r="AB251" i="5" s="1"/>
  <c r="Z243" i="5"/>
  <c r="AB243" i="5" s="1"/>
  <c r="Z235" i="5"/>
  <c r="AA235" i="5" s="1"/>
  <c r="Z227" i="5"/>
  <c r="AB227" i="5" s="1"/>
  <c r="Z219" i="5"/>
  <c r="AA219" i="5" s="1"/>
  <c r="Z211" i="5"/>
  <c r="AA211" i="5" s="1"/>
  <c r="Z203" i="5"/>
  <c r="AA203" i="5" s="1"/>
  <c r="Z195" i="5"/>
  <c r="AA195" i="5" s="1"/>
  <c r="Z187" i="5"/>
  <c r="AB187" i="5" s="1"/>
  <c r="Z179" i="5"/>
  <c r="AA179" i="5" s="1"/>
  <c r="Z163" i="5"/>
  <c r="AA163" i="5" s="1"/>
  <c r="Z115" i="5"/>
  <c r="Z75" i="5"/>
  <c r="Z554" i="5"/>
  <c r="AA554" i="5" s="1"/>
  <c r="Z546" i="5"/>
  <c r="AA546" i="5" s="1"/>
  <c r="Z538" i="5"/>
  <c r="AB538" i="5" s="1"/>
  <c r="Z530" i="5"/>
  <c r="Z522" i="5"/>
  <c r="AA522" i="5" s="1"/>
  <c r="Z514" i="5"/>
  <c r="AB514" i="5" s="1"/>
  <c r="Z506" i="5"/>
  <c r="AB506" i="5" s="1"/>
  <c r="Z498" i="5"/>
  <c r="AA498" i="5" s="1"/>
  <c r="Z490" i="5"/>
  <c r="AB490" i="5" s="1"/>
  <c r="Z482" i="5"/>
  <c r="Z474" i="5"/>
  <c r="AA474" i="5" s="1"/>
  <c r="Z466" i="5"/>
  <c r="Z458" i="5"/>
  <c r="AA458" i="5" s="1"/>
  <c r="Z450" i="5"/>
  <c r="Z442" i="5"/>
  <c r="AB442" i="5" s="1"/>
  <c r="Z434" i="5"/>
  <c r="Z426" i="5"/>
  <c r="AA426" i="5" s="1"/>
  <c r="Z418" i="5"/>
  <c r="AB418" i="5" s="1"/>
  <c r="Z410" i="5"/>
  <c r="AB410" i="5" s="1"/>
  <c r="Z402" i="5"/>
  <c r="AB402" i="5" s="1"/>
  <c r="Z394" i="5"/>
  <c r="AB394" i="5" s="1"/>
  <c r="Z386" i="5"/>
  <c r="AA386" i="5" s="1"/>
  <c r="Z378" i="5"/>
  <c r="Z370" i="5"/>
  <c r="AA370" i="5" s="1"/>
  <c r="Z362" i="5"/>
  <c r="AA362" i="5" s="1"/>
  <c r="Z354" i="5"/>
  <c r="AA354" i="5" s="1"/>
  <c r="Z346" i="5"/>
  <c r="AB346" i="5" s="1"/>
  <c r="Z338" i="5"/>
  <c r="AB338" i="5" s="1"/>
  <c r="Z330" i="5"/>
  <c r="AB330" i="5" s="1"/>
  <c r="Z322" i="5"/>
  <c r="AA322" i="5" s="1"/>
  <c r="Z314" i="5"/>
  <c r="AB314" i="5" s="1"/>
  <c r="Z306" i="5"/>
  <c r="AB306" i="5" s="1"/>
  <c r="Z298" i="5"/>
  <c r="AA298" i="5" s="1"/>
  <c r="Z290" i="5"/>
  <c r="AB290" i="5" s="1"/>
  <c r="Z282" i="5"/>
  <c r="AB282" i="5" s="1"/>
  <c r="Z274" i="5"/>
  <c r="AA274" i="5" s="1"/>
  <c r="Z266" i="5"/>
  <c r="Z258" i="5"/>
  <c r="AB258" i="5" s="1"/>
  <c r="Z250" i="5"/>
  <c r="AB250" i="5" s="1"/>
  <c r="Z242" i="5"/>
  <c r="AA242" i="5" s="1"/>
  <c r="Z234" i="5"/>
  <c r="Z226" i="5"/>
  <c r="AA226" i="5" s="1"/>
  <c r="Z218" i="5"/>
  <c r="Z210" i="5"/>
  <c r="Z202" i="5"/>
  <c r="AA202" i="5" s="1"/>
  <c r="Z194" i="5"/>
  <c r="AB194" i="5" s="1"/>
  <c r="Z186" i="5"/>
  <c r="Z178" i="5"/>
  <c r="Z170" i="5"/>
  <c r="AB170" i="5" s="1"/>
  <c r="Z162" i="5"/>
  <c r="AB162" i="5" s="1"/>
  <c r="Z154" i="5"/>
  <c r="AA154" i="5" s="1"/>
  <c r="Z146" i="5"/>
  <c r="AB146" i="5" s="1"/>
  <c r="Z138" i="5"/>
  <c r="AB138" i="5" s="1"/>
  <c r="Z130" i="5"/>
  <c r="AA130" i="5" s="1"/>
  <c r="Z122" i="5"/>
  <c r="Z114" i="5"/>
  <c r="AB114" i="5" s="1"/>
  <c r="Z106" i="5"/>
  <c r="AB106" i="5" s="1"/>
  <c r="Z98" i="5"/>
  <c r="AA98" i="5" s="1"/>
  <c r="Z90" i="5"/>
  <c r="AB90" i="5" s="1"/>
  <c r="Z82" i="5"/>
  <c r="AB82" i="5" s="1"/>
  <c r="Z74" i="5"/>
  <c r="AA74" i="5" s="1"/>
  <c r="Z66" i="5"/>
  <c r="AB66" i="5" s="1"/>
  <c r="Z58" i="5"/>
  <c r="Z50" i="5"/>
  <c r="AB50" i="5" s="1"/>
  <c r="Z42" i="5"/>
  <c r="AA42" i="5" s="1"/>
  <c r="Z35" i="5"/>
  <c r="Z28" i="5"/>
  <c r="AB28" i="5" s="1"/>
  <c r="Z20" i="5"/>
  <c r="Z121" i="5"/>
  <c r="AA121" i="5" s="1"/>
  <c r="Z105" i="5"/>
  <c r="AA105" i="5" s="1"/>
  <c r="Z89" i="5"/>
  <c r="AB89" i="5" s="1"/>
  <c r="Z73" i="5"/>
  <c r="Z57" i="5"/>
  <c r="AB57" i="5" s="1"/>
  <c r="Z41" i="5"/>
  <c r="AA41" i="5" s="1"/>
  <c r="Z27" i="5"/>
  <c r="AB27" i="5" s="1"/>
  <c r="Z19" i="5"/>
  <c r="AA19" i="5" s="1"/>
  <c r="Z120" i="5"/>
  <c r="AA120" i="5" s="1"/>
  <c r="Z104" i="5"/>
  <c r="AB104" i="5" s="1"/>
  <c r="Z88" i="5"/>
  <c r="AA88" i="5" s="1"/>
  <c r="Z64" i="5"/>
  <c r="AB64" i="5" s="1"/>
  <c r="Z40" i="5"/>
  <c r="AA40" i="5" s="1"/>
  <c r="Z13" i="5"/>
  <c r="Z553" i="5"/>
  <c r="AB553" i="5" s="1"/>
  <c r="Z545" i="5"/>
  <c r="AA545" i="5" s="1"/>
  <c r="Z537" i="5"/>
  <c r="AA537" i="5" s="1"/>
  <c r="Z529" i="5"/>
  <c r="AA529" i="5" s="1"/>
  <c r="Z521" i="5"/>
  <c r="AA521" i="5" s="1"/>
  <c r="Z513" i="5"/>
  <c r="AA513" i="5" s="1"/>
  <c r="Z505" i="5"/>
  <c r="Z497" i="5"/>
  <c r="AB497" i="5" s="1"/>
  <c r="Z489" i="5"/>
  <c r="AB489" i="5" s="1"/>
  <c r="Z481" i="5"/>
  <c r="Z473" i="5"/>
  <c r="AA473" i="5" s="1"/>
  <c r="Z465" i="5"/>
  <c r="Z457" i="5"/>
  <c r="AB457" i="5" s="1"/>
  <c r="Z449" i="5"/>
  <c r="AA449" i="5" s="1"/>
  <c r="Z441" i="5"/>
  <c r="AB441" i="5" s="1"/>
  <c r="Z433" i="5"/>
  <c r="Z425" i="5"/>
  <c r="AA425" i="5" s="1"/>
  <c r="Z417" i="5"/>
  <c r="AA417" i="5" s="1"/>
  <c r="Z409" i="5"/>
  <c r="AB409" i="5" s="1"/>
  <c r="Z401" i="5"/>
  <c r="AA401" i="5" s="1"/>
  <c r="Z393" i="5"/>
  <c r="AA393" i="5" s="1"/>
  <c r="Z385" i="5"/>
  <c r="AB385" i="5" s="1"/>
  <c r="Z377" i="5"/>
  <c r="Z369" i="5"/>
  <c r="AB369" i="5" s="1"/>
  <c r="Z361" i="5"/>
  <c r="AB361" i="5" s="1"/>
  <c r="Z353" i="5"/>
  <c r="Z345" i="5"/>
  <c r="Z337" i="5"/>
  <c r="AB337" i="5" s="1"/>
  <c r="Z329" i="5"/>
  <c r="AB329" i="5" s="1"/>
  <c r="Z321" i="5"/>
  <c r="AB321" i="5" s="1"/>
  <c r="Z313" i="5"/>
  <c r="AB313" i="5" s="1"/>
  <c r="Z305" i="5"/>
  <c r="AB305" i="5" s="1"/>
  <c r="Z297" i="5"/>
  <c r="AB297" i="5" s="1"/>
  <c r="Z289" i="5"/>
  <c r="AB289" i="5" s="1"/>
  <c r="Z281" i="5"/>
  <c r="AB281" i="5" s="1"/>
  <c r="Z273" i="5"/>
  <c r="AB273" i="5" s="1"/>
  <c r="Z265" i="5"/>
  <c r="AB265" i="5" s="1"/>
  <c r="Z257" i="5"/>
  <c r="Z249" i="5"/>
  <c r="AA249" i="5" s="1"/>
  <c r="Z241" i="5"/>
  <c r="AB241" i="5" s="1"/>
  <c r="Z233" i="5"/>
  <c r="AA233" i="5" s="1"/>
  <c r="Z225" i="5"/>
  <c r="AB225" i="5" s="1"/>
  <c r="Z217" i="5"/>
  <c r="AA217" i="5" s="1"/>
  <c r="Z209" i="5"/>
  <c r="AA209" i="5" s="1"/>
  <c r="Z201" i="5"/>
  <c r="AB201" i="5" s="1"/>
  <c r="Z193" i="5"/>
  <c r="AB193" i="5" s="1"/>
  <c r="Z185" i="5"/>
  <c r="AB185" i="5" s="1"/>
  <c r="Z177" i="5"/>
  <c r="AB177" i="5" s="1"/>
  <c r="Z169" i="5"/>
  <c r="AA169" i="5" s="1"/>
  <c r="Z161" i="5"/>
  <c r="AA161" i="5" s="1"/>
  <c r="Z153" i="5"/>
  <c r="AB153" i="5" s="1"/>
  <c r="Z145" i="5"/>
  <c r="Z137" i="5"/>
  <c r="AB137" i="5" s="1"/>
  <c r="Z129" i="5"/>
  <c r="AB129" i="5" s="1"/>
  <c r="Z113" i="5"/>
  <c r="Z97" i="5"/>
  <c r="AB97" i="5" s="1"/>
  <c r="Z81" i="5"/>
  <c r="Z65" i="5"/>
  <c r="Z49" i="5"/>
  <c r="AA49" i="5" s="1"/>
  <c r="Z72" i="5"/>
  <c r="AB72" i="5" s="1"/>
  <c r="Z48" i="5"/>
  <c r="AB48" i="5" s="1"/>
  <c r="Z26" i="5"/>
  <c r="AB26" i="5" s="1"/>
  <c r="Z21" i="5"/>
  <c r="AJ9" i="5"/>
  <c r="AK9" i="5" s="1"/>
  <c r="Z9" i="5"/>
  <c r="S240" i="5"/>
  <c r="R312" i="5"/>
  <c r="T11" i="5"/>
  <c r="U11" i="5" s="1"/>
  <c r="Z11" i="5"/>
  <c r="AB11" i="5" s="1"/>
  <c r="R320" i="5"/>
  <c r="S128" i="5"/>
  <c r="U45" i="5"/>
  <c r="AP38" i="5"/>
  <c r="AR38" i="5" s="1"/>
  <c r="AP110" i="5"/>
  <c r="AR110" i="5" s="1"/>
  <c r="AP47" i="5"/>
  <c r="AR47" i="5" s="1"/>
  <c r="AP92" i="5"/>
  <c r="AR92" i="5" s="1"/>
  <c r="AP64" i="5"/>
  <c r="AQ64" i="5" s="1"/>
  <c r="V97" i="5"/>
  <c r="AP340" i="5"/>
  <c r="AR340" i="5" s="1"/>
  <c r="R472" i="5"/>
  <c r="V534" i="5"/>
  <c r="Y184" i="5"/>
  <c r="AP189" i="5"/>
  <c r="AR189" i="5" s="1"/>
  <c r="V145" i="5"/>
  <c r="V54" i="5"/>
  <c r="AP238" i="5"/>
  <c r="AQ238" i="5" s="1"/>
  <c r="AP42" i="5"/>
  <c r="AR42" i="5" s="1"/>
  <c r="AP506" i="5"/>
  <c r="AQ506" i="5" s="1"/>
  <c r="U143" i="5"/>
  <c r="S224" i="5"/>
  <c r="Y179" i="5"/>
  <c r="Y326" i="5"/>
  <c r="AP112" i="5"/>
  <c r="AR112" i="5" s="1"/>
  <c r="AP497" i="5"/>
  <c r="AR497" i="5" s="1"/>
  <c r="AP276" i="5"/>
  <c r="AR276" i="5" s="1"/>
  <c r="AP146" i="5"/>
  <c r="AR146" i="5" s="1"/>
  <c r="V99" i="5"/>
  <c r="AL227" i="5"/>
  <c r="S136" i="5"/>
  <c r="R216" i="5"/>
  <c r="R232" i="5"/>
  <c r="Y289" i="5"/>
  <c r="Y51" i="5"/>
  <c r="AP252" i="5"/>
  <c r="AQ252" i="5" s="1"/>
  <c r="AP159" i="5"/>
  <c r="AR159" i="5" s="1"/>
  <c r="AP406" i="5"/>
  <c r="AQ406" i="5" s="1"/>
  <c r="V21" i="5"/>
  <c r="X553" i="5"/>
  <c r="Y554" i="5"/>
  <c r="X465" i="5"/>
  <c r="AN64" i="5"/>
  <c r="Y260" i="5"/>
  <c r="X274" i="5"/>
  <c r="AP119" i="5"/>
  <c r="AR119" i="5" s="1"/>
  <c r="AP346" i="5"/>
  <c r="AQ346" i="5" s="1"/>
  <c r="AP182" i="5"/>
  <c r="AQ182" i="5" s="1"/>
  <c r="V102" i="5"/>
  <c r="AP72" i="5"/>
  <c r="AQ72" i="5" s="1"/>
  <c r="AP54" i="5"/>
  <c r="AR54" i="5" s="1"/>
  <c r="Y448" i="5"/>
  <c r="R280" i="5"/>
  <c r="R152" i="5"/>
  <c r="Y301" i="5"/>
  <c r="Y458" i="5"/>
  <c r="P487" i="5"/>
  <c r="S112" i="5"/>
  <c r="S208" i="5"/>
  <c r="S64" i="5"/>
  <c r="K28" i="2"/>
  <c r="K27" i="2"/>
  <c r="AP486" i="5"/>
  <c r="AQ486" i="5" s="1"/>
  <c r="AP359" i="5"/>
  <c r="AR359" i="5" s="1"/>
  <c r="AP470" i="5"/>
  <c r="AQ470" i="5" s="1"/>
  <c r="AP245" i="5"/>
  <c r="AQ245" i="5" s="1"/>
  <c r="AP418" i="5"/>
  <c r="AQ418" i="5" s="1"/>
  <c r="AP258" i="5"/>
  <c r="AQ258" i="5" s="1"/>
  <c r="AP233" i="5"/>
  <c r="AQ233" i="5" s="1"/>
  <c r="AP476" i="5"/>
  <c r="AR476" i="5" s="1"/>
  <c r="AP536" i="5"/>
  <c r="AQ536" i="5" s="1"/>
  <c r="AP560" i="5"/>
  <c r="AQ560" i="5" s="1"/>
  <c r="AP485" i="5"/>
  <c r="AR485" i="5" s="1"/>
  <c r="AP335" i="5"/>
  <c r="AQ335" i="5" s="1"/>
  <c r="AP398" i="5"/>
  <c r="N31" i="2"/>
  <c r="AP284" i="5"/>
  <c r="AQ284" i="5" s="1"/>
  <c r="AP24" i="5"/>
  <c r="AR24" i="5" s="1"/>
  <c r="AP306" i="5"/>
  <c r="AR306" i="5" s="1"/>
  <c r="B50" i="5"/>
  <c r="M31" i="2"/>
  <c r="AP512" i="5"/>
  <c r="AQ512" i="5" s="1"/>
  <c r="B153" i="2"/>
  <c r="H39" i="1" s="1"/>
  <c r="L31" i="2"/>
  <c r="AP364" i="5"/>
  <c r="AQ364" i="5" s="1"/>
  <c r="AK451" i="5"/>
  <c r="AP300" i="5"/>
  <c r="AQ300" i="5" s="1"/>
  <c r="M35" i="2"/>
  <c r="N35" i="2" s="1"/>
  <c r="AP492" i="5"/>
  <c r="AQ492" i="5" s="1"/>
  <c r="AP557" i="5"/>
  <c r="AQ557" i="5" s="1"/>
  <c r="AP451" i="5"/>
  <c r="X96" i="5"/>
  <c r="X129" i="5"/>
  <c r="Y437" i="5"/>
  <c r="Y320" i="5"/>
  <c r="X319" i="5"/>
  <c r="R392" i="5"/>
  <c r="X156" i="5"/>
  <c r="X276" i="5"/>
  <c r="X399" i="5"/>
  <c r="Y342" i="5"/>
  <c r="S416" i="5"/>
  <c r="R432" i="5"/>
  <c r="Y35" i="5"/>
  <c r="X432" i="5"/>
  <c r="X451" i="5"/>
  <c r="Y28" i="5"/>
  <c r="X100" i="5"/>
  <c r="X394" i="5"/>
  <c r="Y286" i="5"/>
  <c r="R80" i="5"/>
  <c r="X491" i="5"/>
  <c r="S304" i="5"/>
  <c r="S8" i="5"/>
  <c r="Y211" i="5"/>
  <c r="Y69" i="5"/>
  <c r="X240" i="5"/>
  <c r="X355" i="5"/>
  <c r="Y214" i="5"/>
  <c r="X215" i="5"/>
  <c r="X412" i="5"/>
  <c r="Y126" i="5"/>
  <c r="Y517" i="5"/>
  <c r="X310" i="5"/>
  <c r="R488" i="5"/>
  <c r="S104" i="5"/>
  <c r="S344" i="5"/>
  <c r="R464" i="5"/>
  <c r="R32" i="5"/>
  <c r="R40" i="5"/>
  <c r="R456" i="5"/>
  <c r="R424" i="5"/>
  <c r="R168" i="5"/>
  <c r="X218" i="5"/>
  <c r="X259" i="5"/>
  <c r="X192" i="5"/>
  <c r="X52" i="5"/>
  <c r="X525" i="5"/>
  <c r="Y45" i="5"/>
  <c r="X434" i="5"/>
  <c r="Y531" i="5"/>
  <c r="Y55" i="5"/>
  <c r="Y158" i="5"/>
  <c r="X426" i="5"/>
  <c r="Y314" i="5"/>
  <c r="X95" i="5"/>
  <c r="X43" i="5"/>
  <c r="X518" i="5"/>
  <c r="Y264" i="5"/>
  <c r="S448" i="5"/>
  <c r="Y83" i="5"/>
  <c r="X313" i="5"/>
  <c r="Y389" i="5"/>
  <c r="Y383" i="5"/>
  <c r="R512" i="5"/>
  <c r="Y415" i="5"/>
  <c r="Y120" i="5"/>
  <c r="Y219" i="5"/>
  <c r="X128" i="5"/>
  <c r="X334" i="5"/>
  <c r="X117" i="5"/>
  <c r="X329" i="5"/>
  <c r="X155" i="5"/>
  <c r="X278" i="5"/>
  <c r="Y277" i="5"/>
  <c r="Y106" i="5"/>
  <c r="X533" i="5"/>
  <c r="R256" i="5"/>
  <c r="Y378" i="5"/>
  <c r="X302" i="5"/>
  <c r="V117" i="4"/>
  <c r="W117" i="4" s="1"/>
  <c r="Y117" i="4" s="1"/>
  <c r="AS26" i="4"/>
  <c r="U117" i="4"/>
  <c r="AH117" i="4" s="1"/>
  <c r="U115" i="4"/>
  <c r="AH115" i="4" s="1"/>
  <c r="AS87" i="4"/>
  <c r="AS37" i="4"/>
  <c r="U125" i="4"/>
  <c r="AH125" i="4" s="1"/>
  <c r="AS57" i="4"/>
  <c r="V46" i="4"/>
  <c r="AM46" i="4" s="1"/>
  <c r="AN46" i="4" s="1"/>
  <c r="AS115" i="4"/>
  <c r="V37" i="4"/>
  <c r="AM37" i="4" s="1"/>
  <c r="AN37" i="4" s="1"/>
  <c r="V61" i="4"/>
  <c r="AM61" i="4" s="1"/>
  <c r="AN61" i="4" s="1"/>
  <c r="V125" i="4"/>
  <c r="AM125" i="4" s="1"/>
  <c r="AN125" i="4" s="1"/>
  <c r="U14" i="4"/>
  <c r="AH14" i="4" s="1"/>
  <c r="V26" i="4"/>
  <c r="U37" i="4"/>
  <c r="AH37" i="4" s="1"/>
  <c r="V145" i="4"/>
  <c r="AM145" i="4" s="1"/>
  <c r="AN145" i="4" s="1"/>
  <c r="V57" i="4"/>
  <c r="AM57" i="4" s="1"/>
  <c r="AN57" i="4" s="1"/>
  <c r="U46" i="4"/>
  <c r="AH46" i="4" s="1"/>
  <c r="U20" i="4"/>
  <c r="AH20" i="4" s="1"/>
  <c r="U61" i="4"/>
  <c r="AH61" i="4" s="1"/>
  <c r="AS125" i="4"/>
  <c r="U134" i="4"/>
  <c r="AH134" i="4" s="1"/>
  <c r="U87" i="4"/>
  <c r="AH87" i="4" s="1"/>
  <c r="AS131" i="4"/>
  <c r="U145" i="4"/>
  <c r="AH145" i="4" s="1"/>
  <c r="AS46" i="4"/>
  <c r="U142" i="4"/>
  <c r="AH142" i="4" s="1"/>
  <c r="AS20" i="4"/>
  <c r="AS61" i="4"/>
  <c r="V12" i="4"/>
  <c r="AM12" i="4" s="1"/>
  <c r="AN12" i="4" s="1"/>
  <c r="V115" i="4"/>
  <c r="W115" i="4" s="1"/>
  <c r="Y115" i="4" s="1"/>
  <c r="AS145" i="4"/>
  <c r="V16" i="4"/>
  <c r="W16" i="4" s="1"/>
  <c r="Y16" i="4" s="1"/>
  <c r="AS142" i="4"/>
  <c r="V20" i="4"/>
  <c r="AM20" i="4" s="1"/>
  <c r="AN20" i="4" s="1"/>
  <c r="V14" i="4"/>
  <c r="AM14" i="4" s="1"/>
  <c r="AN14" i="4" s="1"/>
  <c r="V66" i="4"/>
  <c r="AM66" i="4" s="1"/>
  <c r="AN66" i="4" s="1"/>
  <c r="U18" i="4"/>
  <c r="U128" i="4"/>
  <c r="AH128" i="4" s="1"/>
  <c r="U57" i="4"/>
  <c r="AH57" i="4" s="1"/>
  <c r="V142" i="4"/>
  <c r="AM142" i="4" s="1"/>
  <c r="AN142" i="4" s="1"/>
  <c r="U16" i="4"/>
  <c r="AH16" i="4" s="1"/>
  <c r="V134" i="4"/>
  <c r="W134" i="4" s="1"/>
  <c r="V128" i="4"/>
  <c r="W128" i="4" s="1"/>
  <c r="AS14" i="4"/>
  <c r="U66" i="4"/>
  <c r="AH66" i="4" s="1"/>
  <c r="X395" i="5"/>
  <c r="Y363" i="5"/>
  <c r="X363" i="5"/>
  <c r="X167" i="5"/>
  <c r="Y167" i="5"/>
  <c r="S546" i="5"/>
  <c r="R546" i="5"/>
  <c r="Y145" i="5"/>
  <c r="X266" i="5"/>
  <c r="Y266" i="5"/>
  <c r="X479" i="5"/>
  <c r="Y479" i="5"/>
  <c r="Y373" i="5"/>
  <c r="X373" i="5"/>
  <c r="X68" i="5"/>
  <c r="Y68" i="5"/>
  <c r="X154" i="5"/>
  <c r="Y154" i="5"/>
  <c r="X132" i="5"/>
  <c r="Y132" i="5"/>
  <c r="X366" i="5"/>
  <c r="Y366" i="5"/>
  <c r="Y262" i="5"/>
  <c r="X262" i="5"/>
  <c r="R376" i="5"/>
  <c r="S376" i="5"/>
  <c r="Y110" i="5"/>
  <c r="X110" i="5"/>
  <c r="Y282" i="5"/>
  <c r="X282" i="5"/>
  <c r="R368" i="5"/>
  <c r="S368" i="5"/>
  <c r="Y331" i="5"/>
  <c r="X331" i="5"/>
  <c r="Y557" i="5"/>
  <c r="X557" i="5"/>
  <c r="R176" i="5"/>
  <c r="S176" i="5"/>
  <c r="S200" i="5"/>
  <c r="R200" i="5"/>
  <c r="S534" i="5"/>
  <c r="R534" i="5"/>
  <c r="X112" i="5"/>
  <c r="Y112" i="5"/>
  <c r="X456" i="5"/>
  <c r="Y456" i="5"/>
  <c r="X343" i="5"/>
  <c r="Y343" i="5"/>
  <c r="S248" i="5"/>
  <c r="Y427" i="5"/>
  <c r="X427" i="5"/>
  <c r="R384" i="5"/>
  <c r="X29" i="5"/>
  <c r="Y56" i="5"/>
  <c r="X56" i="5"/>
  <c r="Y290" i="5"/>
  <c r="X290" i="5"/>
  <c r="Y272" i="5"/>
  <c r="X272" i="5"/>
  <c r="X85" i="5"/>
  <c r="Y50" i="5"/>
  <c r="X50" i="5"/>
  <c r="X269" i="5"/>
  <c r="Y269" i="5"/>
  <c r="Y125" i="5"/>
  <c r="X125" i="5"/>
  <c r="Y212" i="5"/>
  <c r="X212" i="5"/>
  <c r="R48" i="5"/>
  <c r="X137" i="5"/>
  <c r="Y484" i="5"/>
  <c r="Y441" i="5"/>
  <c r="R408" i="5"/>
  <c r="R72" i="5"/>
  <c r="Y323" i="5"/>
  <c r="X435" i="5"/>
  <c r="Y435" i="5"/>
  <c r="X405" i="5"/>
  <c r="Y405" i="5"/>
  <c r="X453" i="5"/>
  <c r="Y115" i="5"/>
  <c r="Y403" i="5"/>
  <c r="X403" i="5"/>
  <c r="R360" i="5"/>
  <c r="X202" i="5"/>
  <c r="S296" i="5"/>
  <c r="Y82" i="5"/>
  <c r="X200" i="5"/>
  <c r="R504" i="5"/>
  <c r="R336" i="5"/>
  <c r="S144" i="5"/>
  <c r="R496" i="5"/>
  <c r="Y332" i="5"/>
  <c r="X409" i="5"/>
  <c r="X86" i="5"/>
  <c r="Y130" i="5"/>
  <c r="Y321" i="5"/>
  <c r="Y288" i="5"/>
  <c r="X358" i="5"/>
  <c r="X541" i="5"/>
  <c r="Y510" i="5"/>
  <c r="R440" i="5"/>
  <c r="Y386" i="5"/>
  <c r="Y424" i="5"/>
  <c r="R264" i="5"/>
  <c r="X78" i="5"/>
  <c r="Y555" i="5"/>
  <c r="Y98" i="5"/>
  <c r="R24" i="5"/>
  <c r="Y63" i="5"/>
  <c r="X298" i="5"/>
  <c r="Y391" i="5"/>
  <c r="X299" i="5"/>
  <c r="Y72" i="5"/>
  <c r="Y361" i="5"/>
  <c r="X549" i="5"/>
  <c r="X60" i="5"/>
  <c r="X257" i="5"/>
  <c r="Y464" i="5"/>
  <c r="X229" i="5"/>
  <c r="X62" i="5"/>
  <c r="X537" i="5"/>
  <c r="Y542" i="5"/>
  <c r="Y287" i="5"/>
  <c r="X387" i="5"/>
  <c r="Y199" i="5"/>
  <c r="Y119" i="5"/>
  <c r="Y253" i="5"/>
  <c r="X198" i="5"/>
  <c r="Y506" i="5"/>
  <c r="X178" i="5"/>
  <c r="Y486" i="5"/>
  <c r="X505" i="5"/>
  <c r="Y189" i="5"/>
  <c r="Y237" i="5"/>
  <c r="X270" i="5"/>
  <c r="X89" i="5"/>
  <c r="Y454" i="5"/>
  <c r="X275" i="5"/>
  <c r="Y139" i="5"/>
  <c r="Y543" i="5"/>
  <c r="X478" i="5"/>
  <c r="X466" i="5"/>
  <c r="X21" i="5"/>
  <c r="Y281" i="5"/>
  <c r="X551" i="5"/>
  <c r="X23" i="5"/>
  <c r="Y38" i="5"/>
  <c r="X247" i="5"/>
  <c r="Y208" i="5"/>
  <c r="X482" i="5"/>
  <c r="Y433" i="5"/>
  <c r="R400" i="5"/>
  <c r="Y480" i="5"/>
  <c r="X511" i="5"/>
  <c r="S56" i="5"/>
  <c r="S272" i="5"/>
  <c r="Y382" i="5"/>
  <c r="Y473" i="5"/>
  <c r="X341" i="5"/>
  <c r="Y271" i="5"/>
  <c r="X300" i="5"/>
  <c r="Y172" i="5"/>
  <c r="Y460" i="5"/>
  <c r="Y305" i="5"/>
  <c r="X400" i="5"/>
  <c r="Y490" i="5"/>
  <c r="X390" i="5"/>
  <c r="X470" i="5"/>
  <c r="Y153" i="5"/>
  <c r="X222" i="5"/>
  <c r="X509" i="5"/>
  <c r="X393" i="5"/>
  <c r="X550" i="5"/>
  <c r="S120" i="5"/>
  <c r="Y293" i="5"/>
  <c r="X445" i="5"/>
  <c r="Y93" i="5"/>
  <c r="X351" i="5"/>
  <c r="Y353" i="5"/>
  <c r="X481" i="5"/>
  <c r="X223" i="5"/>
  <c r="X519" i="5"/>
  <c r="Y169" i="5"/>
  <c r="Y530" i="5"/>
  <c r="X174" i="5"/>
  <c r="X512" i="5"/>
  <c r="X428" i="5"/>
  <c r="X64" i="5"/>
  <c r="X248" i="5"/>
  <c r="X243" i="5"/>
  <c r="Y57" i="5"/>
  <c r="Y444" i="5"/>
  <c r="Y26" i="5"/>
  <c r="Y233" i="5"/>
  <c r="X58" i="5"/>
  <c r="X273" i="5"/>
  <c r="X475" i="5"/>
  <c r="X194" i="5"/>
  <c r="Y46" i="5"/>
  <c r="Y401" i="5"/>
  <c r="Y312" i="5"/>
  <c r="Y180" i="5"/>
  <c r="Y142" i="5"/>
  <c r="X304" i="5"/>
  <c r="Y529" i="5"/>
  <c r="Y425" i="5"/>
  <c r="X498" i="5"/>
  <c r="Y131" i="5"/>
  <c r="W73" i="4"/>
  <c r="X73" i="4" s="1"/>
  <c r="X108" i="5"/>
  <c r="Y77" i="5"/>
  <c r="X102" i="5"/>
  <c r="X438" i="5"/>
  <c r="Y197" i="5"/>
  <c r="Y359" i="5"/>
  <c r="X552" i="5"/>
  <c r="X263" i="5"/>
  <c r="Y152" i="5"/>
  <c r="X535" i="5"/>
  <c r="X472" i="5"/>
  <c r="Y42" i="5"/>
  <c r="X36" i="5"/>
  <c r="X546" i="5"/>
  <c r="Y339" i="5"/>
  <c r="X254" i="5"/>
  <c r="Y196" i="5"/>
  <c r="X73" i="5"/>
  <c r="Y239" i="5"/>
  <c r="Y173" i="5"/>
  <c r="X61" i="5"/>
  <c r="Y296" i="5"/>
  <c r="Y381" i="5"/>
  <c r="Y48" i="5"/>
  <c r="X244" i="5"/>
  <c r="Y99" i="5"/>
  <c r="AM98" i="4"/>
  <c r="X258" i="5"/>
  <c r="Y22" i="5"/>
  <c r="X536" i="5"/>
  <c r="Y493" i="5"/>
  <c r="X133" i="5"/>
  <c r="Y284" i="5"/>
  <c r="Y463" i="5"/>
  <c r="Y350" i="5"/>
  <c r="Y357" i="5"/>
  <c r="Y317" i="5"/>
  <c r="Y187" i="5"/>
  <c r="Y485" i="5"/>
  <c r="X280" i="5"/>
  <c r="Y500" i="5"/>
  <c r="X507" i="5"/>
  <c r="Y291" i="5"/>
  <c r="X66" i="5"/>
  <c r="Y520" i="5"/>
  <c r="R184" i="5"/>
  <c r="X477" i="5"/>
  <c r="Y402" i="5"/>
  <c r="Y216" i="5"/>
  <c r="R538" i="5"/>
  <c r="Y440" i="5"/>
  <c r="Y101" i="5"/>
  <c r="X327" i="5"/>
  <c r="Y408" i="5"/>
  <c r="Y436" i="5"/>
  <c r="X191" i="5"/>
  <c r="Y376" i="5"/>
  <c r="X515" i="5"/>
  <c r="Y213" i="5"/>
  <c r="X474" i="5"/>
  <c r="Y84" i="5"/>
  <c r="Y346" i="5"/>
  <c r="X261" i="5"/>
  <c r="Y81" i="5"/>
  <c r="Y175" i="5"/>
  <c r="Y526" i="5"/>
  <c r="X392" i="5"/>
  <c r="X354" i="5"/>
  <c r="Y75" i="5"/>
  <c r="Y97" i="5"/>
  <c r="X372" i="5"/>
  <c r="X442" i="5"/>
  <c r="X249" i="5"/>
  <c r="Y487" i="5"/>
  <c r="Y492" i="5"/>
  <c r="Y410" i="5"/>
  <c r="R192" i="5"/>
  <c r="R160" i="5"/>
  <c r="Y238" i="5"/>
  <c r="Y92" i="5"/>
  <c r="Y148" i="5"/>
  <c r="Y20" i="5"/>
  <c r="Y422" i="5"/>
  <c r="Y59" i="5"/>
  <c r="Y267" i="5"/>
  <c r="X32" i="5"/>
  <c r="X79" i="5"/>
  <c r="X201" i="5"/>
  <c r="R352" i="5"/>
  <c r="Y360" i="5"/>
  <c r="X210" i="5"/>
  <c r="X183" i="5"/>
  <c r="Y385" i="5"/>
  <c r="Y279" i="5"/>
  <c r="X504" i="5"/>
  <c r="X88" i="5"/>
  <c r="X559" i="5"/>
  <c r="X170" i="5"/>
  <c r="X283" i="5"/>
  <c r="Y39" i="5"/>
  <c r="X234" i="5"/>
  <c r="X501" i="5"/>
  <c r="X232" i="5"/>
  <c r="X538" i="5"/>
  <c r="X344" i="5"/>
  <c r="Y503" i="5"/>
  <c r="X165" i="5"/>
  <c r="X168" i="5"/>
  <c r="Y265" i="5"/>
  <c r="Y255" i="5"/>
  <c r="X488" i="5"/>
  <c r="X483" i="5"/>
  <c r="X497" i="5"/>
  <c r="X160" i="5"/>
  <c r="X136" i="5"/>
  <c r="Y423" i="5"/>
  <c r="Y121" i="5"/>
  <c r="X455" i="5"/>
  <c r="X508" i="5"/>
  <c r="X164" i="5"/>
  <c r="X375" i="5"/>
  <c r="X540" i="5"/>
  <c r="Y417" i="5"/>
  <c r="X151" i="5"/>
  <c r="Y76" i="5"/>
  <c r="Y371" i="5"/>
  <c r="Y330" i="5"/>
  <c r="X388" i="5"/>
  <c r="Y252" i="5"/>
  <c r="X532" i="5"/>
  <c r="X27" i="5"/>
  <c r="Y54" i="5"/>
  <c r="X207" i="5"/>
  <c r="X449" i="5"/>
  <c r="Y545" i="5"/>
  <c r="Y380" i="5"/>
  <c r="X104" i="5"/>
  <c r="Y30" i="5"/>
  <c r="X306" i="5"/>
  <c r="Y241" i="5"/>
  <c r="X349" i="5"/>
  <c r="X406" i="5"/>
  <c r="Y70" i="5"/>
  <c r="W140" i="4"/>
  <c r="Y140" i="4" s="1"/>
  <c r="AM140" i="4"/>
  <c r="W105" i="4"/>
  <c r="AM105" i="4"/>
  <c r="AS58" i="4"/>
  <c r="AS149" i="4"/>
  <c r="AS157" i="4"/>
  <c r="AS77" i="4"/>
  <c r="V22" i="4"/>
  <c r="AM22" i="4" s="1"/>
  <c r="AN22" i="4" s="1"/>
  <c r="AS39" i="4"/>
  <c r="V109" i="4"/>
  <c r="AM109" i="4" s="1"/>
  <c r="AN109" i="4" s="1"/>
  <c r="X496" i="5"/>
  <c r="Y217" i="5"/>
  <c r="Y221" i="5"/>
  <c r="X333" i="5"/>
  <c r="Y242" i="5"/>
  <c r="Y220" i="5"/>
  <c r="X471" i="5"/>
  <c r="Y150" i="5"/>
  <c r="X140" i="5"/>
  <c r="U24" i="4"/>
  <c r="AH24" i="4" s="1"/>
  <c r="AL84" i="4"/>
  <c r="AS84" i="4"/>
  <c r="AL155" i="4"/>
  <c r="U155" i="4"/>
  <c r="AL118" i="4"/>
  <c r="AS118" i="4"/>
  <c r="Y122" i="5"/>
  <c r="X122" i="5"/>
  <c r="V83" i="4"/>
  <c r="V67" i="4"/>
  <c r="AM67" i="4" s="1"/>
  <c r="AN67" i="4" s="1"/>
  <c r="X328" i="5"/>
  <c r="R288" i="5"/>
  <c r="V39" i="4"/>
  <c r="AM39" i="4" s="1"/>
  <c r="AN39" i="4" s="1"/>
  <c r="AS109" i="4"/>
  <c r="Y467" i="5"/>
  <c r="Y439" i="5"/>
  <c r="Y188" i="5"/>
  <c r="Y236" i="5"/>
  <c r="Y356" i="5"/>
  <c r="Y268" i="5"/>
  <c r="Y159" i="5"/>
  <c r="X476" i="5"/>
  <c r="U109" i="4"/>
  <c r="AH109" i="4" s="1"/>
  <c r="AL10" i="4"/>
  <c r="V10" i="4"/>
  <c r="AL101" i="4"/>
  <c r="U101" i="4"/>
  <c r="AH101" i="4" s="1"/>
  <c r="V101" i="4"/>
  <c r="AL62" i="4"/>
  <c r="AS62" i="4"/>
  <c r="V62" i="4"/>
  <c r="AS96" i="4"/>
  <c r="AL157" i="4"/>
  <c r="U157" i="4"/>
  <c r="AH157" i="4" s="1"/>
  <c r="AL77" i="4"/>
  <c r="U77" i="4"/>
  <c r="AH77" i="4" s="1"/>
  <c r="U42" i="4"/>
  <c r="AH42" i="4" s="1"/>
  <c r="AS33" i="4"/>
  <c r="U67" i="4"/>
  <c r="AH67" i="4" s="1"/>
  <c r="V15" i="4"/>
  <c r="AM15" i="4" s="1"/>
  <c r="AN15" i="4" s="1"/>
  <c r="AS121" i="4"/>
  <c r="V43" i="4"/>
  <c r="W43" i="4" s="1"/>
  <c r="Y43" i="4" s="1"/>
  <c r="X24" i="5"/>
  <c r="X256" i="5"/>
  <c r="AS135" i="4"/>
  <c r="Y352" i="5"/>
  <c r="U39" i="4"/>
  <c r="AH39" i="4" s="1"/>
  <c r="X123" i="5"/>
  <c r="Y246" i="5"/>
  <c r="Y523" i="5"/>
  <c r="Y190" i="5"/>
  <c r="X34" i="5"/>
  <c r="Y544" i="5"/>
  <c r="Y513" i="5"/>
  <c r="X149" i="5"/>
  <c r="V58" i="4"/>
  <c r="U91" i="4"/>
  <c r="AH91" i="4" s="1"/>
  <c r="AS101" i="4"/>
  <c r="AS137" i="4"/>
  <c r="AS42" i="4"/>
  <c r="V33" i="4"/>
  <c r="W33" i="4" s="1"/>
  <c r="Y33" i="4" s="1"/>
  <c r="Z33" i="4" s="1"/>
  <c r="AS67" i="4"/>
  <c r="AS15" i="4"/>
  <c r="V121" i="4"/>
  <c r="W121" i="4" s="1"/>
  <c r="Y121" i="4" s="1"/>
  <c r="Z121" i="4" s="1"/>
  <c r="U43" i="4"/>
  <c r="AH43" i="4" s="1"/>
  <c r="U129" i="4"/>
  <c r="AH129" i="4" s="1"/>
  <c r="AM9" i="5"/>
  <c r="AN9" i="5" s="1"/>
  <c r="AH103" i="4"/>
  <c r="V135" i="4"/>
  <c r="AM135" i="4" s="1"/>
  <c r="AN135" i="4" s="1"/>
  <c r="X447" i="5"/>
  <c r="X19" i="5"/>
  <c r="Y407" i="5"/>
  <c r="Y251" i="5"/>
  <c r="Y157" i="5"/>
  <c r="Y80" i="5"/>
  <c r="Y143" i="5"/>
  <c r="AL132" i="4"/>
  <c r="V132" i="4"/>
  <c r="U132" i="4"/>
  <c r="AH132" i="4" s="1"/>
  <c r="AL130" i="4"/>
  <c r="V130" i="4"/>
  <c r="AL98" i="4"/>
  <c r="AS98" i="4"/>
  <c r="Y469" i="5"/>
  <c r="X560" i="5"/>
  <c r="U94" i="4"/>
  <c r="AH94" i="4" s="1"/>
  <c r="V94" i="4"/>
  <c r="AS94" i="4"/>
  <c r="AL94" i="4"/>
  <c r="V155" i="4"/>
  <c r="V24" i="4"/>
  <c r="V129" i="4"/>
  <c r="AM129" i="4" s="1"/>
  <c r="AN129" i="4" s="1"/>
  <c r="AS72" i="4"/>
  <c r="V152" i="4"/>
  <c r="AM152" i="4" s="1"/>
  <c r="AN152" i="4" s="1"/>
  <c r="V148" i="4"/>
  <c r="AM148" i="4" s="1"/>
  <c r="AN148" i="4" s="1"/>
  <c r="X316" i="5"/>
  <c r="Y141" i="5"/>
  <c r="Y67" i="5"/>
  <c r="X177" i="5"/>
  <c r="Y429" i="5"/>
  <c r="Y521" i="5"/>
  <c r="Y430" i="5"/>
  <c r="Y556" i="5"/>
  <c r="X71" i="5"/>
  <c r="X348" i="5"/>
  <c r="X124" i="5"/>
  <c r="AS59" i="4"/>
  <c r="AL59" i="4"/>
  <c r="V59" i="4"/>
  <c r="U59" i="4"/>
  <c r="AH59" i="4" s="1"/>
  <c r="AS79" i="4"/>
  <c r="AL79" i="4"/>
  <c r="U79" i="4"/>
  <c r="AH79" i="4" s="1"/>
  <c r="V79" i="4"/>
  <c r="AL141" i="4"/>
  <c r="V141" i="4"/>
  <c r="AS73" i="4"/>
  <c r="AL73" i="4"/>
  <c r="AN73" i="4" s="1"/>
  <c r="AL133" i="4"/>
  <c r="U133" i="4"/>
  <c r="AH133" i="4" s="1"/>
  <c r="V133" i="4"/>
  <c r="AS18" i="4"/>
  <c r="AS130" i="4"/>
  <c r="AM11" i="5"/>
  <c r="AO11" i="5" s="1"/>
  <c r="AH122" i="4"/>
  <c r="V56" i="4"/>
  <c r="W56" i="4" s="1"/>
  <c r="Y56" i="4" s="1"/>
  <c r="Z56" i="4" s="1"/>
  <c r="AH138" i="4"/>
  <c r="U149" i="4"/>
  <c r="AH149" i="4" s="1"/>
  <c r="AS56" i="4"/>
  <c r="V72" i="4"/>
  <c r="AM72" i="4" s="1"/>
  <c r="AN72" i="4" s="1"/>
  <c r="AS152" i="4"/>
  <c r="U148" i="4"/>
  <c r="AH148" i="4" s="1"/>
  <c r="U22" i="4"/>
  <c r="AH22" i="4" s="1"/>
  <c r="Y384" i="5"/>
  <c r="X340" i="5"/>
  <c r="X114" i="5"/>
  <c r="AH96" i="4"/>
  <c r="AL34" i="4"/>
  <c r="AS34" i="4"/>
  <c r="V34" i="4"/>
  <c r="U34" i="4"/>
  <c r="AH34" i="4" s="1"/>
  <c r="AL140" i="4"/>
  <c r="U140" i="4"/>
  <c r="AH140" i="4" s="1"/>
  <c r="AS140" i="4"/>
  <c r="AL143" i="4"/>
  <c r="AS143" i="4"/>
  <c r="AL105" i="4"/>
  <c r="AS105" i="4"/>
  <c r="U105" i="4"/>
  <c r="AL21" i="4"/>
  <c r="V21" i="4"/>
  <c r="U21" i="4"/>
  <c r="AH21" i="4" s="1"/>
  <c r="AS21" i="4"/>
  <c r="AS132" i="4"/>
  <c r="V144" i="4"/>
  <c r="Y8" i="5"/>
  <c r="X338" i="5"/>
  <c r="Y53" i="5"/>
  <c r="X420" i="5"/>
  <c r="X431" i="5"/>
  <c r="Y369" i="5"/>
  <c r="Y90" i="5"/>
  <c r="X548" i="5"/>
  <c r="X522" i="5"/>
  <c r="Y186" i="5"/>
  <c r="X468" i="5"/>
  <c r="X324" i="5"/>
  <c r="X226" i="5"/>
  <c r="X31" i="5"/>
  <c r="Y245" i="5"/>
  <c r="Y33" i="5"/>
  <c r="X195" i="5"/>
  <c r="X311" i="5"/>
  <c r="Y294" i="5"/>
  <c r="Y182" i="5"/>
  <c r="X25" i="5"/>
  <c r="Y494" i="5"/>
  <c r="Y443" i="5"/>
  <c r="X303" i="5"/>
  <c r="Y421" i="5"/>
  <c r="Y524" i="5"/>
  <c r="Y176" i="5"/>
  <c r="X44" i="5"/>
  <c r="Y418" i="5"/>
  <c r="X40" i="5"/>
  <c r="X91" i="5"/>
  <c r="X528" i="5"/>
  <c r="X368" i="5"/>
  <c r="X228" i="5"/>
  <c r="X127" i="5"/>
  <c r="Y127" i="5"/>
  <c r="X461" i="5"/>
  <c r="Y461" i="5"/>
  <c r="Y502" i="5"/>
  <c r="Y450" i="5"/>
  <c r="X309" i="5"/>
  <c r="X146" i="5"/>
  <c r="X166" i="5"/>
  <c r="Y109" i="5"/>
  <c r="Y230" i="5"/>
  <c r="X230" i="5"/>
  <c r="X171" i="5"/>
  <c r="Y171" i="5"/>
  <c r="Y113" i="5"/>
  <c r="X113" i="5"/>
  <c r="Y377" i="5"/>
  <c r="X377" i="5"/>
  <c r="Y193" i="5"/>
  <c r="X193" i="5"/>
  <c r="Y285" i="5"/>
  <c r="X285" i="5"/>
  <c r="X235" i="5"/>
  <c r="Y235" i="5"/>
  <c r="X94" i="5"/>
  <c r="Y370" i="5"/>
  <c r="X370" i="5"/>
  <c r="AH11" i="4"/>
  <c r="Y397" i="5"/>
  <c r="X111" i="5"/>
  <c r="X495" i="5"/>
  <c r="Y105" i="5"/>
  <c r="Y396" i="5"/>
  <c r="X367" i="5"/>
  <c r="X414" i="5"/>
  <c r="X462" i="5"/>
  <c r="Y209" i="5"/>
  <c r="X459" i="5"/>
  <c r="Y459" i="5"/>
  <c r="X307" i="5"/>
  <c r="Y307" i="5"/>
  <c r="Y527" i="5"/>
  <c r="AH15" i="4"/>
  <c r="X534" i="5"/>
  <c r="X227" i="5"/>
  <c r="Y116" i="5"/>
  <c r="Y250" i="5"/>
  <c r="Y107" i="5"/>
  <c r="Y162" i="5"/>
  <c r="X295" i="5"/>
  <c r="Y49" i="5"/>
  <c r="X49" i="5"/>
  <c r="X413" i="5"/>
  <c r="X398" i="5"/>
  <c r="Y419" i="5"/>
  <c r="Y558" i="5"/>
  <c r="Y452" i="5"/>
  <c r="X452" i="5"/>
  <c r="X147" i="5"/>
  <c r="Y147" i="5"/>
  <c r="X47" i="5"/>
  <c r="Y47" i="5"/>
  <c r="Y446" i="5"/>
  <c r="X292" i="5"/>
  <c r="Y336" i="5"/>
  <c r="Y41" i="5"/>
  <c r="X347" i="5"/>
  <c r="Y364" i="5"/>
  <c r="Y185" i="5"/>
  <c r="Y37" i="5"/>
  <c r="Y362" i="5"/>
  <c r="Y411" i="5"/>
  <c r="Y144" i="5"/>
  <c r="Y308" i="5"/>
  <c r="X224" i="5"/>
  <c r="Y337" i="5"/>
  <c r="X231" i="5"/>
  <c r="X335" i="5"/>
  <c r="Y297" i="5"/>
  <c r="Y87" i="5"/>
  <c r="Y547" i="5"/>
  <c r="X547" i="5"/>
  <c r="AH8" i="4"/>
  <c r="Y318" i="5"/>
  <c r="X322" i="5"/>
  <c r="Y134" i="5"/>
  <c r="Y163" i="5"/>
  <c r="Y539" i="5"/>
  <c r="Y379" i="5"/>
  <c r="Y225" i="5"/>
  <c r="X457" i="5"/>
  <c r="Y325" i="5"/>
  <c r="X325" i="5"/>
  <c r="X489" i="5"/>
  <c r="Y489" i="5"/>
  <c r="X205" i="5"/>
  <c r="Y205" i="5"/>
  <c r="AM143" i="4"/>
  <c r="W143" i="4"/>
  <c r="Y143" i="4" s="1"/>
  <c r="Z143" i="4" s="1"/>
  <c r="AJ11" i="5"/>
  <c r="AK11" i="5" s="1"/>
  <c r="AM84" i="4"/>
  <c r="W84" i="4"/>
  <c r="X138" i="5"/>
  <c r="Y499" i="5"/>
  <c r="X499" i="5"/>
  <c r="Y514" i="5"/>
  <c r="X203" i="5"/>
  <c r="Y103" i="5"/>
  <c r="X103" i="5"/>
  <c r="Y404" i="5"/>
  <c r="X404" i="5"/>
  <c r="X345" i="5"/>
  <c r="Y345" i="5"/>
  <c r="W9" i="5"/>
  <c r="T9" i="5"/>
  <c r="AG9" i="5"/>
  <c r="Q9" i="5"/>
  <c r="X118" i="5"/>
  <c r="Y118" i="5"/>
  <c r="X374" i="5"/>
  <c r="Y374" i="5"/>
  <c r="Y315" i="5"/>
  <c r="X315" i="5"/>
  <c r="X516" i="5"/>
  <c r="P326" i="5"/>
  <c r="P32" i="5"/>
  <c r="P375" i="5"/>
  <c r="P445" i="5"/>
  <c r="P93" i="5"/>
  <c r="P342" i="5"/>
  <c r="P195" i="5"/>
  <c r="P279" i="5"/>
  <c r="P242" i="5"/>
  <c r="P465" i="5"/>
  <c r="P263" i="5"/>
  <c r="P210" i="5"/>
  <c r="P72" i="5"/>
  <c r="P454" i="5"/>
  <c r="P270" i="5"/>
  <c r="P475" i="5"/>
  <c r="P254" i="5"/>
  <c r="P98" i="5"/>
  <c r="P460" i="5"/>
  <c r="P492" i="5"/>
  <c r="P282" i="5"/>
  <c r="P172" i="5"/>
  <c r="P132" i="5"/>
  <c r="P413" i="5"/>
  <c r="P438" i="5"/>
  <c r="P336" i="5"/>
  <c r="P428" i="5"/>
  <c r="P115" i="5"/>
  <c r="P140" i="5"/>
  <c r="P154" i="5"/>
  <c r="P528" i="5"/>
  <c r="P322" i="5"/>
  <c r="P398" i="5"/>
  <c r="P327" i="5"/>
  <c r="P332" i="5"/>
  <c r="P53" i="5"/>
  <c r="P213" i="5"/>
  <c r="P409" i="5"/>
  <c r="P385" i="5"/>
  <c r="P557" i="5"/>
  <c r="P560" i="5"/>
  <c r="P27" i="5"/>
  <c r="P36" i="5"/>
  <c r="P504" i="5"/>
  <c r="P266" i="5"/>
  <c r="P264" i="5"/>
  <c r="P468" i="5"/>
  <c r="P11" i="5"/>
  <c r="P476" i="5"/>
  <c r="P436" i="5"/>
  <c r="P146" i="5"/>
  <c r="P548" i="5"/>
  <c r="P78" i="5"/>
  <c r="P352" i="5"/>
  <c r="P104" i="5"/>
  <c r="P404" i="5"/>
  <c r="P382" i="5"/>
  <c r="P239" i="5"/>
  <c r="P33" i="5"/>
  <c r="P479" i="5"/>
  <c r="P247" i="5"/>
  <c r="P477" i="5"/>
  <c r="P143" i="5"/>
  <c r="P505" i="5"/>
  <c r="P538" i="5"/>
  <c r="P376" i="5"/>
  <c r="P121" i="5"/>
  <c r="P109" i="5"/>
  <c r="P388" i="5"/>
  <c r="P131" i="5"/>
  <c r="P373" i="5"/>
  <c r="P116" i="5"/>
  <c r="P537" i="5"/>
  <c r="P514" i="5"/>
  <c r="P499" i="5"/>
  <c r="P311" i="5"/>
  <c r="P387" i="5"/>
  <c r="P170" i="5"/>
  <c r="P248" i="5"/>
  <c r="P318" i="5"/>
  <c r="P293" i="5"/>
  <c r="P464" i="5"/>
  <c r="P128" i="5"/>
  <c r="P35" i="5"/>
  <c r="P22" i="5"/>
  <c r="P364" i="5"/>
  <c r="P530" i="5"/>
  <c r="P296" i="5"/>
  <c r="P486" i="5"/>
  <c r="P230" i="5"/>
  <c r="P452" i="5"/>
  <c r="P295" i="5"/>
  <c r="P187" i="5"/>
  <c r="P163" i="5"/>
  <c r="P66" i="5"/>
  <c r="P356" i="5"/>
  <c r="P369" i="5"/>
  <c r="P312" i="5"/>
  <c r="P51" i="5"/>
  <c r="P467" i="5"/>
  <c r="P12" i="5"/>
  <c r="P134" i="5"/>
  <c r="P501" i="5"/>
  <c r="P315" i="5"/>
  <c r="P152" i="5"/>
  <c r="P106" i="5"/>
  <c r="P67" i="5"/>
  <c r="P240" i="5"/>
  <c r="P553" i="5"/>
  <c r="P357" i="5"/>
  <c r="P473" i="5"/>
  <c r="P105" i="5"/>
  <c r="P396" i="5"/>
  <c r="P215" i="5"/>
  <c r="P150" i="5"/>
  <c r="P194" i="5"/>
  <c r="P103" i="5"/>
  <c r="P304" i="5"/>
  <c r="P75" i="5"/>
  <c r="P201" i="5"/>
  <c r="P298" i="5"/>
  <c r="P457" i="5"/>
  <c r="P395" i="5"/>
  <c r="P427" i="5"/>
  <c r="P156" i="5"/>
  <c r="P56" i="5"/>
  <c r="P219" i="5"/>
  <c r="P258" i="5"/>
  <c r="P453" i="5"/>
  <c r="P419" i="5"/>
  <c r="P440" i="5"/>
  <c r="P372" i="5"/>
  <c r="P144" i="5"/>
  <c r="P439" i="5"/>
  <c r="P273" i="5"/>
  <c r="P392" i="5"/>
  <c r="P28" i="5"/>
  <c r="P435" i="5"/>
  <c r="P474" i="5"/>
  <c r="P490" i="5"/>
  <c r="P100" i="5"/>
  <c r="P168" i="5"/>
  <c r="P19" i="5"/>
  <c r="P360" i="5"/>
  <c r="P193" i="5"/>
  <c r="P160" i="5"/>
  <c r="P124" i="5"/>
  <c r="P229" i="5"/>
  <c r="P255" i="5"/>
  <c r="P299" i="5"/>
  <c r="P268" i="5"/>
  <c r="P54" i="5"/>
  <c r="P503" i="5"/>
  <c r="P207" i="5"/>
  <c r="P543" i="5"/>
  <c r="P149" i="5"/>
  <c r="P44" i="5"/>
  <c r="P80" i="5"/>
  <c r="P269" i="5"/>
  <c r="P158" i="5"/>
  <c r="P523" i="5"/>
  <c r="P233" i="5"/>
  <c r="P330" i="5"/>
  <c r="P378" i="5"/>
  <c r="P192" i="5"/>
  <c r="P246" i="5"/>
  <c r="P200" i="5"/>
  <c r="P287" i="5"/>
  <c r="P232" i="5"/>
  <c r="P88" i="5"/>
  <c r="P218" i="5"/>
  <c r="P259" i="5"/>
  <c r="P231" i="5"/>
  <c r="P161" i="5"/>
  <c r="P549" i="5"/>
  <c r="P175" i="5"/>
  <c r="P433" i="5"/>
  <c r="P281" i="5"/>
  <c r="P502" i="5"/>
  <c r="P24" i="5"/>
  <c r="P120" i="5"/>
  <c r="P506" i="5"/>
  <c r="P112" i="5"/>
  <c r="P97" i="5"/>
  <c r="P459" i="5"/>
  <c r="P173" i="5"/>
  <c r="P74" i="5"/>
  <c r="P493" i="5"/>
  <c r="P344" i="5"/>
  <c r="P186" i="5"/>
  <c r="P339" i="5"/>
  <c r="P346" i="5"/>
  <c r="P145" i="5"/>
  <c r="P226" i="5"/>
  <c r="P489" i="5"/>
  <c r="P261" i="5"/>
  <c r="P370" i="5"/>
  <c r="P283" i="5"/>
  <c r="P221" i="5"/>
  <c r="P46" i="5"/>
  <c r="P554" i="5"/>
  <c r="P177" i="5"/>
  <c r="P516" i="5"/>
  <c r="P358" i="5"/>
  <c r="P447" i="5"/>
  <c r="P204" i="5"/>
  <c r="P275" i="5"/>
  <c r="P434" i="5"/>
  <c r="P211" i="5"/>
  <c r="P85" i="5"/>
  <c r="P38" i="5"/>
  <c r="P350" i="5"/>
  <c r="P71" i="5"/>
  <c r="P485" i="5"/>
  <c r="P271" i="5"/>
  <c r="P43" i="5"/>
  <c r="P250" i="5"/>
  <c r="P559" i="5"/>
  <c r="P73" i="5"/>
  <c r="P347" i="5"/>
  <c r="P49" i="5"/>
  <c r="P472" i="5"/>
  <c r="P48" i="5"/>
  <c r="P110" i="5"/>
  <c r="P442" i="5"/>
  <c r="P420" i="5"/>
  <c r="P400" i="5"/>
  <c r="P397" i="5"/>
  <c r="P34" i="5"/>
  <c r="P203" i="5"/>
  <c r="P519" i="5"/>
  <c r="P123" i="5"/>
  <c r="P113" i="5"/>
  <c r="P305" i="5"/>
  <c r="P243" i="5"/>
  <c r="P47" i="5"/>
  <c r="P386" i="5"/>
  <c r="P313" i="5"/>
  <c r="P424" i="5"/>
  <c r="P328" i="5"/>
  <c r="P402" i="5"/>
  <c r="P294" i="5"/>
  <c r="P343" i="5"/>
  <c r="P359" i="5"/>
  <c r="P61" i="5"/>
  <c r="P354" i="5"/>
  <c r="P544" i="5"/>
  <c r="P345" i="5"/>
  <c r="P63" i="5"/>
  <c r="P135" i="5"/>
  <c r="P362" i="5"/>
  <c r="P165" i="5"/>
  <c r="P507" i="5"/>
  <c r="P338" i="5"/>
  <c r="P518" i="5"/>
  <c r="P421" i="5"/>
  <c r="P69" i="5"/>
  <c r="P183" i="5"/>
  <c r="P290" i="5"/>
  <c r="P510" i="5"/>
  <c r="P300" i="5"/>
  <c r="P189" i="5"/>
  <c r="P23" i="5"/>
  <c r="P462" i="5"/>
  <c r="P59" i="5"/>
  <c r="P450" i="5"/>
  <c r="P306" i="5"/>
  <c r="P374" i="5"/>
  <c r="P353" i="5"/>
  <c r="P535" i="5"/>
  <c r="P235" i="5"/>
  <c r="P301" i="5"/>
  <c r="P209" i="5"/>
  <c r="P390" i="5"/>
  <c r="P65" i="5"/>
  <c r="P317" i="5"/>
  <c r="P81" i="5"/>
  <c r="P237" i="5"/>
  <c r="P202" i="5"/>
  <c r="P176" i="5"/>
  <c r="P236" i="5"/>
  <c r="P188" i="5"/>
  <c r="P451" i="5"/>
  <c r="P411" i="5"/>
  <c r="P122" i="5"/>
  <c r="P547" i="5"/>
  <c r="P83" i="5"/>
  <c r="P274" i="5"/>
  <c r="P129" i="5"/>
  <c r="P111" i="5"/>
  <c r="P491" i="5"/>
  <c r="P166" i="5"/>
  <c r="P288" i="5"/>
  <c r="P214" i="5"/>
  <c r="P449" i="5"/>
  <c r="P363" i="5"/>
  <c r="P77" i="5"/>
  <c r="P171" i="5"/>
  <c r="P216" i="5"/>
  <c r="P431" i="5"/>
  <c r="P119" i="5"/>
  <c r="P245" i="5"/>
  <c r="P463" i="5"/>
  <c r="P222" i="5"/>
  <c r="P118" i="5"/>
  <c r="P552" i="5"/>
  <c r="P205" i="5"/>
  <c r="P401" i="5"/>
  <c r="P280" i="5"/>
  <c r="P522" i="5"/>
  <c r="P422" i="5"/>
  <c r="P84" i="5"/>
  <c r="P94" i="5"/>
  <c r="P368" i="5"/>
  <c r="P456" i="5"/>
  <c r="P86" i="5"/>
  <c r="P414" i="5"/>
  <c r="P515" i="5"/>
  <c r="P162" i="5"/>
  <c r="P92" i="5"/>
  <c r="P484" i="5"/>
  <c r="P31" i="5"/>
  <c r="P334" i="5"/>
  <c r="P52" i="5"/>
  <c r="P406" i="5"/>
  <c r="P249" i="5"/>
  <c r="P126" i="5"/>
  <c r="P418" i="5"/>
  <c r="P212" i="5"/>
  <c r="P366" i="5"/>
  <c r="P417" i="5"/>
  <c r="P539" i="5"/>
  <c r="P365" i="5"/>
  <c r="P335" i="5"/>
  <c r="P348" i="5"/>
  <c r="P310" i="5"/>
  <c r="P542" i="5"/>
  <c r="P532" i="5"/>
  <c r="P470" i="5"/>
  <c r="P130" i="5"/>
  <c r="P89" i="5"/>
  <c r="P276" i="5"/>
  <c r="P471" i="5"/>
  <c r="P399" i="5"/>
  <c r="P29" i="5"/>
  <c r="P244" i="5"/>
  <c r="P410" i="5"/>
  <c r="P153" i="5"/>
  <c r="P308" i="5"/>
  <c r="P540" i="5"/>
  <c r="P147" i="5"/>
  <c r="P164" i="5"/>
  <c r="P408" i="5"/>
  <c r="P319" i="5"/>
  <c r="P511" i="5"/>
  <c r="P320" i="5"/>
  <c r="P443" i="5"/>
  <c r="P289" i="5"/>
  <c r="P50" i="5"/>
  <c r="P151" i="5"/>
  <c r="P291" i="5"/>
  <c r="P480" i="5"/>
  <c r="P37" i="5"/>
  <c r="P531" i="5"/>
  <c r="P534" i="5"/>
  <c r="P225" i="5"/>
  <c r="P136" i="5"/>
  <c r="P526" i="5"/>
  <c r="P224" i="5"/>
  <c r="P333" i="5"/>
  <c r="P340" i="5"/>
  <c r="P556" i="5"/>
  <c r="P430" i="5"/>
  <c r="P96" i="5"/>
  <c r="P139" i="5"/>
  <c r="P384" i="5"/>
  <c r="P496" i="5"/>
  <c r="P91" i="5"/>
  <c r="P355" i="5"/>
  <c r="P558" i="5"/>
  <c r="P208" i="5"/>
  <c r="P142" i="5"/>
  <c r="P533" i="5"/>
  <c r="P181" i="5"/>
  <c r="P377" i="5"/>
  <c r="P198" i="5"/>
  <c r="P498" i="5"/>
  <c r="P278" i="5"/>
  <c r="P10" i="5"/>
  <c r="P114" i="5"/>
  <c r="P323" i="5"/>
  <c r="P525" i="5"/>
  <c r="P513" i="5"/>
  <c r="P512" i="5"/>
  <c r="P367" i="5"/>
  <c r="P90" i="5"/>
  <c r="P196" i="5"/>
  <c r="P316" i="5"/>
  <c r="P536" i="5"/>
  <c r="P148" i="5"/>
  <c r="P551" i="5"/>
  <c r="P546" i="5"/>
  <c r="P455" i="5"/>
  <c r="P79" i="5"/>
  <c r="P541" i="5"/>
  <c r="P241" i="5"/>
  <c r="P314" i="5"/>
  <c r="P285" i="5"/>
  <c r="P500" i="5"/>
  <c r="P302" i="5"/>
  <c r="P39" i="5"/>
  <c r="P101" i="5"/>
  <c r="P303" i="5"/>
  <c r="P371" i="5"/>
  <c r="P62" i="5"/>
  <c r="P307" i="5"/>
  <c r="P68" i="5"/>
  <c r="P169" i="5"/>
  <c r="P416" i="5"/>
  <c r="P412" i="5"/>
  <c r="P41" i="5"/>
  <c r="P555" i="5"/>
  <c r="P127" i="5"/>
  <c r="P379" i="5"/>
  <c r="P117" i="5"/>
  <c r="P297" i="5"/>
  <c r="P260" i="5"/>
  <c r="P8" i="5"/>
  <c r="P108" i="5"/>
  <c r="P337" i="5"/>
  <c r="P481" i="5"/>
  <c r="P448" i="5"/>
  <c r="P125" i="5"/>
  <c r="P425" i="5"/>
  <c r="P178" i="5"/>
  <c r="P157" i="5"/>
  <c r="P466" i="5"/>
  <c r="P137" i="5"/>
  <c r="P426" i="5"/>
  <c r="P228" i="5"/>
  <c r="P380" i="5"/>
  <c r="P361" i="5"/>
  <c r="P42" i="5"/>
  <c r="P159" i="5"/>
  <c r="P383" i="5"/>
  <c r="P461" i="5"/>
  <c r="P441" i="5"/>
  <c r="P517" i="5"/>
  <c r="P381" i="5"/>
  <c r="P190" i="5"/>
  <c r="P107" i="5"/>
  <c r="P509" i="5"/>
  <c r="P99" i="5"/>
  <c r="P238" i="5"/>
  <c r="P95" i="5"/>
  <c r="P284" i="5"/>
  <c r="P253" i="5"/>
  <c r="P217" i="5"/>
  <c r="P21" i="5"/>
  <c r="P286" i="5"/>
  <c r="P437" i="5"/>
  <c r="P469" i="5"/>
  <c r="P394" i="5"/>
  <c r="P251" i="5"/>
  <c r="P60" i="5"/>
  <c r="P155" i="5"/>
  <c r="P331" i="5"/>
  <c r="P521" i="5"/>
  <c r="P58" i="5"/>
  <c r="P446" i="5"/>
  <c r="P432" i="5"/>
  <c r="P483" i="5"/>
  <c r="P351" i="5"/>
  <c r="P527" i="5"/>
  <c r="P257" i="5"/>
  <c r="P197" i="5"/>
  <c r="P482" i="5"/>
  <c r="P444" i="5"/>
  <c r="P429" i="5"/>
  <c r="P234" i="5"/>
  <c r="P184" i="5"/>
  <c r="P141" i="5"/>
  <c r="P277" i="5"/>
  <c r="P341" i="5"/>
  <c r="P87" i="5"/>
  <c r="P185" i="5"/>
  <c r="P64" i="5"/>
  <c r="P70" i="5"/>
  <c r="P550" i="5"/>
  <c r="P138" i="5"/>
  <c r="P191" i="5"/>
  <c r="P30" i="5"/>
  <c r="P524" i="5"/>
  <c r="P13" i="5"/>
  <c r="P494" i="5"/>
  <c r="P223" i="5"/>
  <c r="P252" i="5"/>
  <c r="P57" i="5"/>
  <c r="P262" i="5"/>
  <c r="P520" i="5"/>
  <c r="P403" i="5"/>
  <c r="P423" i="5"/>
  <c r="P206" i="5"/>
  <c r="P133" i="5"/>
  <c r="P76" i="5"/>
  <c r="P407" i="5"/>
  <c r="P26" i="5"/>
  <c r="P324" i="5"/>
  <c r="P220" i="5"/>
  <c r="P292" i="5"/>
  <c r="P309" i="5"/>
  <c r="P40" i="5"/>
  <c r="P82" i="5"/>
  <c r="P329" i="5"/>
  <c r="P497" i="5"/>
  <c r="P389" i="5"/>
  <c r="P349" i="5"/>
  <c r="P265" i="5"/>
  <c r="P179" i="5"/>
  <c r="P45" i="5"/>
  <c r="P488" i="5"/>
  <c r="P180" i="5"/>
  <c r="P321" i="5"/>
  <c r="P415" i="5"/>
  <c r="P267" i="5"/>
  <c r="P174" i="5"/>
  <c r="P167" i="5"/>
  <c r="P20" i="5"/>
  <c r="P227" i="5"/>
  <c r="P393" i="5"/>
  <c r="P256" i="5"/>
  <c r="P529" i="5"/>
  <c r="P272" i="5"/>
  <c r="P9" i="5"/>
  <c r="P102" i="5"/>
  <c r="P199" i="5"/>
  <c r="P508" i="5"/>
  <c r="P478" i="5"/>
  <c r="P25" i="5"/>
  <c r="P325" i="5"/>
  <c r="P545" i="5"/>
  <c r="P458" i="5"/>
  <c r="P495" i="5"/>
  <c r="P182" i="5"/>
  <c r="P55" i="5"/>
  <c r="P391" i="5"/>
  <c r="P405" i="5"/>
  <c r="S474" i="5"/>
  <c r="R474" i="5"/>
  <c r="R548" i="5"/>
  <c r="S548" i="5"/>
  <c r="R525" i="5"/>
  <c r="S525" i="5"/>
  <c r="S36" i="5"/>
  <c r="R36" i="5"/>
  <c r="R134" i="5"/>
  <c r="S134" i="5"/>
  <c r="R397" i="5"/>
  <c r="S397" i="5"/>
  <c r="S501" i="5"/>
  <c r="R501" i="5"/>
  <c r="R394" i="5"/>
  <c r="S394" i="5"/>
  <c r="R157" i="5"/>
  <c r="S157" i="5"/>
  <c r="R194" i="5"/>
  <c r="S194" i="5"/>
  <c r="S270" i="5"/>
  <c r="R270" i="5"/>
  <c r="R286" i="5"/>
  <c r="S286" i="5"/>
  <c r="R214" i="5"/>
  <c r="S214" i="5"/>
  <c r="R241" i="5"/>
  <c r="S241" i="5"/>
  <c r="R190" i="5"/>
  <c r="S190" i="5"/>
  <c r="S132" i="5"/>
  <c r="R132" i="5"/>
  <c r="R162" i="5"/>
  <c r="S162" i="5"/>
  <c r="S530" i="5"/>
  <c r="R530" i="5"/>
  <c r="S483" i="5"/>
  <c r="R483" i="5"/>
  <c r="R282" i="5"/>
  <c r="S282" i="5"/>
  <c r="S211" i="5"/>
  <c r="R211" i="5"/>
  <c r="R171" i="5"/>
  <c r="S171" i="5"/>
  <c r="R121" i="5"/>
  <c r="S121" i="5"/>
  <c r="R61" i="5"/>
  <c r="S61" i="5"/>
  <c r="S522" i="5"/>
  <c r="R522" i="5"/>
  <c r="S477" i="5"/>
  <c r="R477" i="5"/>
  <c r="R370" i="5"/>
  <c r="S370" i="5"/>
  <c r="S257" i="5"/>
  <c r="R257" i="5"/>
  <c r="R313" i="5"/>
  <c r="S313" i="5"/>
  <c r="R164" i="5"/>
  <c r="S164" i="5"/>
  <c r="S89" i="5"/>
  <c r="R89" i="5"/>
  <c r="S42" i="5"/>
  <c r="R42" i="5"/>
  <c r="S518" i="5"/>
  <c r="R518" i="5"/>
  <c r="R473" i="5"/>
  <c r="S473" i="5"/>
  <c r="R249" i="5"/>
  <c r="S249" i="5"/>
  <c r="S141" i="5"/>
  <c r="R141" i="5"/>
  <c r="R233" i="5"/>
  <c r="S233" i="5"/>
  <c r="S105" i="5"/>
  <c r="R105" i="5"/>
  <c r="R63" i="5"/>
  <c r="S63" i="5"/>
  <c r="S443" i="5"/>
  <c r="R443" i="5"/>
  <c r="R467" i="5"/>
  <c r="S467" i="5"/>
  <c r="R351" i="5"/>
  <c r="S351" i="5"/>
  <c r="S350" i="5"/>
  <c r="R350" i="5"/>
  <c r="S299" i="5"/>
  <c r="R299" i="5"/>
  <c r="R183" i="5"/>
  <c r="S183" i="5"/>
  <c r="S103" i="5"/>
  <c r="R103" i="5"/>
  <c r="S26" i="5"/>
  <c r="R26" i="5"/>
  <c r="S502" i="5"/>
  <c r="R502" i="5"/>
  <c r="S468" i="5"/>
  <c r="R468" i="5"/>
  <c r="S442" i="5"/>
  <c r="R442" i="5"/>
  <c r="S326" i="5"/>
  <c r="R326" i="5"/>
  <c r="S228" i="5"/>
  <c r="R228" i="5"/>
  <c r="R83" i="5"/>
  <c r="S83" i="5"/>
  <c r="R58" i="5"/>
  <c r="S58" i="5"/>
  <c r="R364" i="5"/>
  <c r="S364" i="5"/>
  <c r="R452" i="5"/>
  <c r="S452" i="5"/>
  <c r="R338" i="5"/>
  <c r="S338" i="5"/>
  <c r="S346" i="5"/>
  <c r="R346" i="5"/>
  <c r="S291" i="5"/>
  <c r="R291" i="5"/>
  <c r="S179" i="5"/>
  <c r="R179" i="5"/>
  <c r="R82" i="5"/>
  <c r="S82" i="5"/>
  <c r="S516" i="5"/>
  <c r="R516" i="5"/>
  <c r="S444" i="5"/>
  <c r="R444" i="5"/>
  <c r="S387" i="5"/>
  <c r="R387" i="5"/>
  <c r="S407" i="5"/>
  <c r="R407" i="5"/>
  <c r="R285" i="5"/>
  <c r="S285" i="5"/>
  <c r="R107" i="5"/>
  <c r="S107" i="5"/>
  <c r="R100" i="5"/>
  <c r="S100" i="5"/>
  <c r="S50" i="5"/>
  <c r="R50" i="5"/>
  <c r="S383" i="5"/>
  <c r="R383" i="5"/>
  <c r="S521" i="5"/>
  <c r="R521" i="5"/>
  <c r="S495" i="5"/>
  <c r="R495" i="5"/>
  <c r="R542" i="5"/>
  <c r="S542" i="5"/>
  <c r="R459" i="5"/>
  <c r="S459" i="5"/>
  <c r="S119" i="5"/>
  <c r="R119" i="5"/>
  <c r="R205" i="5"/>
  <c r="S205" i="5"/>
  <c r="R325" i="5"/>
  <c r="S325" i="5"/>
  <c r="S310" i="5"/>
  <c r="R310" i="5"/>
  <c r="S303" i="5"/>
  <c r="R303" i="5"/>
  <c r="S66" i="5"/>
  <c r="R66" i="5"/>
  <c r="S244" i="5"/>
  <c r="R244" i="5"/>
  <c r="R139" i="5"/>
  <c r="S139" i="5"/>
  <c r="S158" i="5"/>
  <c r="R158" i="5"/>
  <c r="R131" i="5"/>
  <c r="S131" i="5"/>
  <c r="R109" i="5"/>
  <c r="S109" i="5"/>
  <c r="R93" i="5"/>
  <c r="S93" i="5"/>
  <c r="R484" i="5"/>
  <c r="S484" i="5"/>
  <c r="S461" i="5"/>
  <c r="R461" i="5"/>
  <c r="S438" i="5"/>
  <c r="R438" i="5"/>
  <c r="S307" i="5"/>
  <c r="R307" i="5"/>
  <c r="R219" i="5"/>
  <c r="S219" i="5"/>
  <c r="R149" i="5"/>
  <c r="S149" i="5"/>
  <c r="R38" i="5"/>
  <c r="S38" i="5"/>
  <c r="R552" i="5"/>
  <c r="S552" i="5"/>
  <c r="S435" i="5"/>
  <c r="R435" i="5"/>
  <c r="R263" i="5"/>
  <c r="S263" i="5"/>
  <c r="R329" i="5"/>
  <c r="S329" i="5"/>
  <c r="R269" i="5"/>
  <c r="S269" i="5"/>
  <c r="S166" i="5"/>
  <c r="R166" i="5"/>
  <c r="S110" i="5"/>
  <c r="R110" i="5"/>
  <c r="S19" i="5"/>
  <c r="R19" i="5"/>
  <c r="R465" i="5"/>
  <c r="S465" i="5"/>
  <c r="R453" i="5"/>
  <c r="S453" i="5"/>
  <c r="S423" i="5"/>
  <c r="R423" i="5"/>
  <c r="R300" i="5"/>
  <c r="S300" i="5"/>
  <c r="R191" i="5"/>
  <c r="S191" i="5"/>
  <c r="R140" i="5"/>
  <c r="S140" i="5"/>
  <c r="R59" i="5"/>
  <c r="S59" i="5"/>
  <c r="R532" i="5"/>
  <c r="S532" i="5"/>
  <c r="R422" i="5"/>
  <c r="S422" i="5"/>
  <c r="S414" i="5"/>
  <c r="R414" i="5"/>
  <c r="S317" i="5"/>
  <c r="R317" i="5"/>
  <c r="R246" i="5"/>
  <c r="S246" i="5"/>
  <c r="R145" i="5"/>
  <c r="S145" i="5"/>
  <c r="R87" i="5"/>
  <c r="S87" i="5"/>
  <c r="S539" i="5"/>
  <c r="R539" i="5"/>
  <c r="S449" i="5"/>
  <c r="R449" i="5"/>
  <c r="R393" i="5"/>
  <c r="S393" i="5"/>
  <c r="S411" i="5"/>
  <c r="R411" i="5"/>
  <c r="R293" i="5"/>
  <c r="S293" i="5"/>
  <c r="S186" i="5"/>
  <c r="R186" i="5"/>
  <c r="R125" i="5"/>
  <c r="S125" i="5"/>
  <c r="S27" i="5"/>
  <c r="R27" i="5"/>
  <c r="R508" i="5"/>
  <c r="S508" i="5"/>
  <c r="R410" i="5"/>
  <c r="S410" i="5"/>
  <c r="R404" i="5"/>
  <c r="S404" i="5"/>
  <c r="S309" i="5"/>
  <c r="R309" i="5"/>
  <c r="R213" i="5"/>
  <c r="S213" i="5"/>
  <c r="S188" i="5"/>
  <c r="R188" i="5"/>
  <c r="S95" i="5"/>
  <c r="R95" i="5"/>
  <c r="R544" i="5"/>
  <c r="S544" i="5"/>
  <c r="S510" i="5"/>
  <c r="R510" i="5"/>
  <c r="S412" i="5"/>
  <c r="R412" i="5"/>
  <c r="R372" i="5"/>
  <c r="S372" i="5"/>
  <c r="S229" i="5"/>
  <c r="R229" i="5"/>
  <c r="R199" i="5"/>
  <c r="S199" i="5"/>
  <c r="R137" i="5"/>
  <c r="S137" i="5"/>
  <c r="S25" i="5"/>
  <c r="R25" i="5"/>
  <c r="R262" i="5"/>
  <c r="S262" i="5"/>
  <c r="R267" i="5"/>
  <c r="S267" i="5"/>
  <c r="S405" i="5"/>
  <c r="R405" i="5"/>
  <c r="R511" i="5"/>
  <c r="S511" i="5"/>
  <c r="R490" i="5"/>
  <c r="S490" i="5"/>
  <c r="R537" i="5"/>
  <c r="S537" i="5"/>
  <c r="S65" i="5"/>
  <c r="R65" i="5"/>
  <c r="R49" i="5"/>
  <c r="S49" i="5"/>
  <c r="R54" i="5"/>
  <c r="S54" i="5"/>
  <c r="R528" i="5"/>
  <c r="S528" i="5"/>
  <c r="R428" i="5"/>
  <c r="S428" i="5"/>
  <c r="S122" i="5"/>
  <c r="R122" i="5"/>
  <c r="R78" i="5"/>
  <c r="S78" i="5"/>
  <c r="S37" i="5"/>
  <c r="R37" i="5"/>
  <c r="S34" i="5"/>
  <c r="R34" i="5"/>
  <c r="R39" i="5"/>
  <c r="S39" i="5"/>
  <c r="S505" i="5"/>
  <c r="R505" i="5"/>
  <c r="S437" i="5"/>
  <c r="R437" i="5"/>
  <c r="S381" i="5"/>
  <c r="R381" i="5"/>
  <c r="R396" i="5"/>
  <c r="S396" i="5"/>
  <c r="R281" i="5"/>
  <c r="S281" i="5"/>
  <c r="R251" i="5"/>
  <c r="S251" i="5"/>
  <c r="S98" i="5"/>
  <c r="R98" i="5"/>
  <c r="R46" i="5"/>
  <c r="S46" i="5"/>
  <c r="S481" i="5"/>
  <c r="R481" i="5"/>
  <c r="R337" i="5"/>
  <c r="S337" i="5"/>
  <c r="R388" i="5"/>
  <c r="S388" i="5"/>
  <c r="R287" i="5"/>
  <c r="S287" i="5"/>
  <c r="S101" i="5"/>
  <c r="R101" i="5"/>
  <c r="S163" i="5"/>
  <c r="R163" i="5"/>
  <c r="R91" i="5"/>
  <c r="S91" i="5"/>
  <c r="R429" i="5"/>
  <c r="S429" i="5"/>
  <c r="S342" i="5"/>
  <c r="R342" i="5"/>
  <c r="S359" i="5"/>
  <c r="R359" i="5"/>
  <c r="S386" i="5"/>
  <c r="R386" i="5"/>
  <c r="S259" i="5"/>
  <c r="R259" i="5"/>
  <c r="S238" i="5"/>
  <c r="R238" i="5"/>
  <c r="R154" i="5"/>
  <c r="S154" i="5"/>
  <c r="S35" i="5"/>
  <c r="R35" i="5"/>
  <c r="S447" i="5"/>
  <c r="R447" i="5"/>
  <c r="S252" i="5"/>
  <c r="R252" i="5"/>
  <c r="S379" i="5"/>
  <c r="R379" i="5"/>
  <c r="R278" i="5"/>
  <c r="S278" i="5"/>
  <c r="S237" i="5"/>
  <c r="R237" i="5"/>
  <c r="S92" i="5"/>
  <c r="R92" i="5"/>
  <c r="S77" i="5"/>
  <c r="R77" i="5"/>
  <c r="R403" i="5"/>
  <c r="S403" i="5"/>
  <c r="S520" i="5"/>
  <c r="R520" i="5"/>
  <c r="S421" i="5"/>
  <c r="R421" i="5"/>
  <c r="R380" i="5"/>
  <c r="S380" i="5"/>
  <c r="S253" i="5"/>
  <c r="R253" i="5"/>
  <c r="S235" i="5"/>
  <c r="R235" i="5"/>
  <c r="S151" i="5"/>
  <c r="R151" i="5"/>
  <c r="S30" i="5"/>
  <c r="R30" i="5"/>
  <c r="R559" i="5"/>
  <c r="S559" i="5"/>
  <c r="R524" i="5"/>
  <c r="S524" i="5"/>
  <c r="R365" i="5"/>
  <c r="S365" i="5"/>
  <c r="S275" i="5"/>
  <c r="R275" i="5"/>
  <c r="S231" i="5"/>
  <c r="R231" i="5"/>
  <c r="R155" i="5"/>
  <c r="S155" i="5"/>
  <c r="S71" i="5"/>
  <c r="R71" i="5"/>
  <c r="R558" i="5"/>
  <c r="S558" i="5"/>
  <c r="S486" i="5"/>
  <c r="R486" i="5"/>
  <c r="R377" i="5"/>
  <c r="S377" i="5"/>
  <c r="S289" i="5"/>
  <c r="R289" i="5"/>
  <c r="S323" i="5"/>
  <c r="R323" i="5"/>
  <c r="S178" i="5"/>
  <c r="R178" i="5"/>
  <c r="S108" i="5"/>
  <c r="R108" i="5"/>
  <c r="S47" i="5"/>
  <c r="R47" i="5"/>
  <c r="S212" i="5"/>
  <c r="R212" i="5"/>
  <c r="R148" i="5"/>
  <c r="S148" i="5"/>
  <c r="S193" i="5"/>
  <c r="R193" i="5"/>
  <c r="S260" i="5"/>
  <c r="R260" i="5"/>
  <c r="R22" i="5"/>
  <c r="S22" i="5"/>
  <c r="R560" i="5"/>
  <c r="S560" i="5"/>
  <c r="S182" i="5"/>
  <c r="R182" i="5"/>
  <c r="S462" i="5"/>
  <c r="R462" i="5"/>
  <c r="R97" i="5"/>
  <c r="S97" i="5"/>
  <c r="R62" i="5"/>
  <c r="S62" i="5"/>
  <c r="S84" i="5"/>
  <c r="R84" i="5"/>
  <c r="S458" i="5"/>
  <c r="R458" i="5"/>
  <c r="R513" i="5"/>
  <c r="S513" i="5"/>
  <c r="R507" i="5"/>
  <c r="S507" i="5"/>
  <c r="S551" i="5"/>
  <c r="R551" i="5"/>
  <c r="S533" i="5"/>
  <c r="R533" i="5"/>
  <c r="R506" i="5"/>
  <c r="S506" i="5"/>
  <c r="R406" i="5"/>
  <c r="S406" i="5"/>
  <c r="S371" i="5"/>
  <c r="R371" i="5"/>
  <c r="R218" i="5"/>
  <c r="S218" i="5"/>
  <c r="R198" i="5"/>
  <c r="S198" i="5"/>
  <c r="S135" i="5"/>
  <c r="R135" i="5"/>
  <c r="R43" i="5"/>
  <c r="S43" i="5"/>
  <c r="S545" i="5"/>
  <c r="R545" i="5"/>
  <c r="S519" i="5"/>
  <c r="R519" i="5"/>
  <c r="S354" i="5"/>
  <c r="R354" i="5"/>
  <c r="S265" i="5"/>
  <c r="R265" i="5"/>
  <c r="S217" i="5"/>
  <c r="R217" i="5"/>
  <c r="R147" i="5"/>
  <c r="S147" i="5"/>
  <c r="S81" i="5"/>
  <c r="R81" i="5"/>
  <c r="R466" i="5"/>
  <c r="S466" i="5"/>
  <c r="S492" i="5"/>
  <c r="R492" i="5"/>
  <c r="S398" i="5"/>
  <c r="R398" i="5"/>
  <c r="S334" i="5"/>
  <c r="R334" i="5"/>
  <c r="R196" i="5"/>
  <c r="S196" i="5"/>
  <c r="R181" i="5"/>
  <c r="S181" i="5"/>
  <c r="S123" i="5"/>
  <c r="R123" i="5"/>
  <c r="R23" i="5"/>
  <c r="S23" i="5"/>
  <c r="S541" i="5"/>
  <c r="R541" i="5"/>
  <c r="S503" i="5"/>
  <c r="R503" i="5"/>
  <c r="R343" i="5"/>
  <c r="S343" i="5"/>
  <c r="R243" i="5"/>
  <c r="S243" i="5"/>
  <c r="S206" i="5"/>
  <c r="R206" i="5"/>
  <c r="R129" i="5"/>
  <c r="S129" i="5"/>
  <c r="S70" i="5"/>
  <c r="R70" i="5"/>
  <c r="S557" i="5"/>
  <c r="R557" i="5"/>
  <c r="S489" i="5"/>
  <c r="R489" i="5"/>
  <c r="S395" i="5"/>
  <c r="R395" i="5"/>
  <c r="R306" i="5"/>
  <c r="S306" i="5"/>
  <c r="S331" i="5"/>
  <c r="R331" i="5"/>
  <c r="R202" i="5"/>
  <c r="S202" i="5"/>
  <c r="R117" i="5"/>
  <c r="S117" i="5"/>
  <c r="R20" i="5"/>
  <c r="S20" i="5"/>
  <c r="R536" i="5"/>
  <c r="S536" i="5"/>
  <c r="R500" i="5"/>
  <c r="S500" i="5"/>
  <c r="S314" i="5"/>
  <c r="R314" i="5"/>
  <c r="R223" i="5"/>
  <c r="S223" i="5"/>
  <c r="S204" i="5"/>
  <c r="R204" i="5"/>
  <c r="S126" i="5"/>
  <c r="R126" i="5"/>
  <c r="S69" i="5"/>
  <c r="R69" i="5"/>
  <c r="S550" i="5"/>
  <c r="R550" i="5"/>
  <c r="S446" i="5"/>
  <c r="R446" i="5"/>
  <c r="S327" i="5"/>
  <c r="R327" i="5"/>
  <c r="R341" i="5"/>
  <c r="S341" i="5"/>
  <c r="R284" i="5"/>
  <c r="S284" i="5"/>
  <c r="R175" i="5"/>
  <c r="S175" i="5"/>
  <c r="S44" i="5"/>
  <c r="R44" i="5"/>
  <c r="R311" i="5"/>
  <c r="S311" i="5"/>
  <c r="S222" i="5"/>
  <c r="R222" i="5"/>
  <c r="S215" i="5"/>
  <c r="R215" i="5"/>
  <c r="R209" i="5"/>
  <c r="S209" i="5"/>
  <c r="S333" i="5"/>
  <c r="R333" i="5"/>
  <c r="S127" i="5"/>
  <c r="R127" i="5"/>
  <c r="R116" i="5"/>
  <c r="S116" i="5"/>
  <c r="S439" i="5"/>
  <c r="R439" i="5"/>
  <c r="S113" i="5"/>
  <c r="R113" i="5"/>
  <c r="R167" i="5"/>
  <c r="S167" i="5"/>
  <c r="S543" i="5"/>
  <c r="R543" i="5"/>
  <c r="S362" i="5"/>
  <c r="R362" i="5"/>
  <c r="S493" i="5"/>
  <c r="R493" i="5"/>
  <c r="S470" i="5"/>
  <c r="R470" i="5"/>
  <c r="R434" i="5"/>
  <c r="S434" i="5"/>
  <c r="R549" i="5"/>
  <c r="S549" i="5"/>
  <c r="R482" i="5"/>
  <c r="S482" i="5"/>
  <c r="R374" i="5"/>
  <c r="S374" i="5"/>
  <c r="S273" i="5"/>
  <c r="R273" i="5"/>
  <c r="R316" i="5"/>
  <c r="S316" i="5"/>
  <c r="S170" i="5"/>
  <c r="R170" i="5"/>
  <c r="S99" i="5"/>
  <c r="R99" i="5"/>
  <c r="S45" i="5"/>
  <c r="R45" i="5"/>
  <c r="S529" i="5"/>
  <c r="R529" i="5"/>
  <c r="S475" i="5"/>
  <c r="R475" i="5"/>
  <c r="R279" i="5"/>
  <c r="S279" i="5"/>
  <c r="R173" i="5"/>
  <c r="S173" i="5"/>
  <c r="R165" i="5"/>
  <c r="S165" i="5"/>
  <c r="R118" i="5"/>
  <c r="S118" i="5"/>
  <c r="R57" i="5"/>
  <c r="S57" i="5"/>
  <c r="R460" i="5"/>
  <c r="S460" i="5"/>
  <c r="S469" i="5"/>
  <c r="R469" i="5"/>
  <c r="S358" i="5"/>
  <c r="R358" i="5"/>
  <c r="R357" i="5"/>
  <c r="S357" i="5"/>
  <c r="R302" i="5"/>
  <c r="S302" i="5"/>
  <c r="R185" i="5"/>
  <c r="S185" i="5"/>
  <c r="S106" i="5"/>
  <c r="R106" i="5"/>
  <c r="S31" i="5"/>
  <c r="R31" i="5"/>
  <c r="R509" i="5"/>
  <c r="S509" i="5"/>
  <c r="R471" i="5"/>
  <c r="S471" i="5"/>
  <c r="S245" i="5"/>
  <c r="R245" i="5"/>
  <c r="S330" i="5"/>
  <c r="R330" i="5"/>
  <c r="S230" i="5"/>
  <c r="R230" i="5"/>
  <c r="R102" i="5"/>
  <c r="S102" i="5"/>
  <c r="R60" i="5"/>
  <c r="S60" i="5"/>
  <c r="S430" i="5"/>
  <c r="R430" i="5"/>
  <c r="R457" i="5"/>
  <c r="S457" i="5"/>
  <c r="S347" i="5"/>
  <c r="R347" i="5"/>
  <c r="S348" i="5"/>
  <c r="R348" i="5"/>
  <c r="R292" i="5"/>
  <c r="S292" i="5"/>
  <c r="S180" i="5"/>
  <c r="R180" i="5"/>
  <c r="S94" i="5"/>
  <c r="R94" i="5"/>
  <c r="S21" i="5"/>
  <c r="R21" i="5"/>
  <c r="S497" i="5"/>
  <c r="R497" i="5"/>
  <c r="S463" i="5"/>
  <c r="R463" i="5"/>
  <c r="S441" i="5"/>
  <c r="R441" i="5"/>
  <c r="R321" i="5"/>
  <c r="S321" i="5"/>
  <c r="R225" i="5"/>
  <c r="S225" i="5"/>
  <c r="R159" i="5"/>
  <c r="S159" i="5"/>
  <c r="S55" i="5"/>
  <c r="R55" i="5"/>
  <c r="S498" i="5"/>
  <c r="R498" i="5"/>
  <c r="S369" i="5"/>
  <c r="R369" i="5"/>
  <c r="R402" i="5"/>
  <c r="S402" i="5"/>
  <c r="R297" i="5"/>
  <c r="S297" i="5"/>
  <c r="R203" i="5"/>
  <c r="S203" i="5"/>
  <c r="R174" i="5"/>
  <c r="S174" i="5"/>
  <c r="R86" i="5"/>
  <c r="S86" i="5"/>
  <c r="S261" i="5"/>
  <c r="R261" i="5"/>
  <c r="R361" i="5"/>
  <c r="S361" i="5"/>
  <c r="S356" i="5"/>
  <c r="R356" i="5"/>
  <c r="R349" i="5"/>
  <c r="S349" i="5"/>
  <c r="R332" i="5"/>
  <c r="S332" i="5"/>
  <c r="S340" i="5"/>
  <c r="R340" i="5"/>
  <c r="R487" i="5"/>
  <c r="S487" i="5"/>
  <c r="S494" i="5"/>
  <c r="R494" i="5"/>
  <c r="R454" i="5"/>
  <c r="S454" i="5"/>
  <c r="R478" i="5"/>
  <c r="S478" i="5"/>
  <c r="R517" i="5"/>
  <c r="S517" i="5"/>
  <c r="R366" i="5"/>
  <c r="S366" i="5"/>
  <c r="S401" i="5"/>
  <c r="R401" i="5"/>
  <c r="S367" i="5"/>
  <c r="R367" i="5"/>
  <c r="S419" i="5"/>
  <c r="R419" i="5"/>
  <c r="S555" i="5"/>
  <c r="R555" i="5"/>
  <c r="S436" i="5"/>
  <c r="R436" i="5"/>
  <c r="S322" i="5"/>
  <c r="R322" i="5"/>
  <c r="S339" i="5"/>
  <c r="R339" i="5"/>
  <c r="R276" i="5"/>
  <c r="S276" i="5"/>
  <c r="S172" i="5"/>
  <c r="R172" i="5"/>
  <c r="S111" i="5"/>
  <c r="R111" i="5"/>
  <c r="AG11" i="5"/>
  <c r="Q11" i="5"/>
  <c r="W11" i="5"/>
  <c r="R479" i="5"/>
  <c r="S479" i="5"/>
  <c r="S455" i="5"/>
  <c r="R455" i="5"/>
  <c r="S431" i="5"/>
  <c r="R431" i="5"/>
  <c r="R305" i="5"/>
  <c r="S305" i="5"/>
  <c r="S210" i="5"/>
  <c r="R210" i="5"/>
  <c r="S146" i="5"/>
  <c r="R146" i="5"/>
  <c r="R67" i="5"/>
  <c r="S67" i="5"/>
  <c r="S547" i="5"/>
  <c r="R547" i="5"/>
  <c r="R425" i="5"/>
  <c r="S425" i="5"/>
  <c r="R417" i="5"/>
  <c r="S417" i="5"/>
  <c r="R319" i="5"/>
  <c r="S319" i="5"/>
  <c r="S258" i="5"/>
  <c r="R258" i="5"/>
  <c r="R161" i="5"/>
  <c r="S161" i="5"/>
  <c r="S90" i="5"/>
  <c r="R90" i="5"/>
  <c r="S540" i="5"/>
  <c r="R540" i="5"/>
  <c r="R450" i="5"/>
  <c r="S450" i="5"/>
  <c r="R433" i="5"/>
  <c r="S433" i="5"/>
  <c r="R418" i="5"/>
  <c r="S418" i="5"/>
  <c r="R298" i="5"/>
  <c r="S298" i="5"/>
  <c r="S189" i="5"/>
  <c r="R189" i="5"/>
  <c r="S138" i="5"/>
  <c r="R138" i="5"/>
  <c r="S51" i="5"/>
  <c r="R51" i="5"/>
  <c r="R515" i="5"/>
  <c r="S515" i="5"/>
  <c r="S420" i="5"/>
  <c r="R420" i="5"/>
  <c r="R413" i="5"/>
  <c r="S413" i="5"/>
  <c r="R315" i="5"/>
  <c r="S315" i="5"/>
  <c r="S227" i="5"/>
  <c r="R227" i="5"/>
  <c r="R130" i="5"/>
  <c r="S130" i="5"/>
  <c r="R85" i="5"/>
  <c r="S85" i="5"/>
  <c r="S531" i="5"/>
  <c r="R531" i="5"/>
  <c r="S445" i="5"/>
  <c r="R445" i="5"/>
  <c r="R390" i="5"/>
  <c r="S390" i="5"/>
  <c r="S409" i="5"/>
  <c r="R409" i="5"/>
  <c r="S290" i="5"/>
  <c r="R290" i="5"/>
  <c r="S177" i="5"/>
  <c r="R177" i="5"/>
  <c r="S114" i="5"/>
  <c r="R114" i="5"/>
  <c r="R52" i="5"/>
  <c r="S52" i="5"/>
  <c r="R553" i="5"/>
  <c r="S553" i="5"/>
  <c r="S523" i="5"/>
  <c r="R523" i="5"/>
  <c r="S363" i="5"/>
  <c r="R363" i="5"/>
  <c r="S274" i="5"/>
  <c r="R274" i="5"/>
  <c r="S226" i="5"/>
  <c r="R226" i="5"/>
  <c r="R150" i="5"/>
  <c r="S150" i="5"/>
  <c r="R73" i="5"/>
  <c r="S73" i="5"/>
  <c r="S476" i="5"/>
  <c r="R476" i="5"/>
  <c r="S266" i="5"/>
  <c r="R266" i="5"/>
  <c r="S28" i="5"/>
  <c r="R28" i="5"/>
  <c r="S133" i="5"/>
  <c r="R133" i="5"/>
  <c r="R74" i="5"/>
  <c r="S74" i="5"/>
  <c r="R207" i="5"/>
  <c r="S207" i="5"/>
  <c r="R239" i="5"/>
  <c r="S239" i="5"/>
  <c r="S295" i="5"/>
  <c r="R295" i="5"/>
  <c r="R221" i="5"/>
  <c r="S221" i="5"/>
  <c r="R143" i="5"/>
  <c r="S143" i="5"/>
  <c r="S335" i="5"/>
  <c r="R335" i="5"/>
  <c r="S353" i="5"/>
  <c r="R353" i="5"/>
  <c r="S389" i="5"/>
  <c r="R389" i="5"/>
  <c r="R355" i="5"/>
  <c r="S355" i="5"/>
  <c r="R254" i="5"/>
  <c r="S254" i="5"/>
  <c r="R324" i="5"/>
  <c r="S324" i="5"/>
  <c r="S491" i="5"/>
  <c r="R491" i="5"/>
  <c r="R345" i="5"/>
  <c r="S345" i="5"/>
  <c r="R399" i="5"/>
  <c r="S399" i="5"/>
  <c r="R294" i="5"/>
  <c r="S294" i="5"/>
  <c r="S187" i="5"/>
  <c r="R187" i="5"/>
  <c r="R169" i="5"/>
  <c r="S169" i="5"/>
  <c r="R76" i="5"/>
  <c r="S76" i="5"/>
  <c r="R499" i="5"/>
  <c r="S499" i="5"/>
  <c r="S426" i="5"/>
  <c r="R426" i="5"/>
  <c r="R378" i="5"/>
  <c r="S378" i="5"/>
  <c r="S391" i="5"/>
  <c r="R391" i="5"/>
  <c r="S271" i="5"/>
  <c r="R271" i="5"/>
  <c r="S250" i="5"/>
  <c r="R250" i="5"/>
  <c r="R53" i="5"/>
  <c r="S53" i="5"/>
  <c r="S41" i="5"/>
  <c r="R41" i="5"/>
  <c r="R451" i="5"/>
  <c r="S451" i="5"/>
  <c r="R301" i="5"/>
  <c r="S301" i="5"/>
  <c r="S382" i="5"/>
  <c r="R382" i="5"/>
  <c r="S283" i="5"/>
  <c r="R283" i="5"/>
  <c r="R242" i="5"/>
  <c r="S242" i="5"/>
  <c r="R115" i="5"/>
  <c r="S115" i="5"/>
  <c r="R79" i="5"/>
  <c r="S79" i="5"/>
  <c r="S427" i="5"/>
  <c r="R427" i="5"/>
  <c r="R197" i="5"/>
  <c r="S197" i="5"/>
  <c r="S318" i="5"/>
  <c r="R318" i="5"/>
  <c r="S385" i="5"/>
  <c r="R385" i="5"/>
  <c r="R255" i="5"/>
  <c r="S255" i="5"/>
  <c r="S236" i="5"/>
  <c r="R236" i="5"/>
  <c r="R153" i="5"/>
  <c r="S153" i="5"/>
  <c r="S33" i="5"/>
  <c r="R33" i="5"/>
  <c r="R268" i="5"/>
  <c r="S268" i="5"/>
  <c r="S527" i="5"/>
  <c r="R527" i="5"/>
  <c r="R373" i="5"/>
  <c r="S373" i="5"/>
  <c r="S277" i="5"/>
  <c r="R277" i="5"/>
  <c r="S234" i="5"/>
  <c r="R234" i="5"/>
  <c r="S156" i="5"/>
  <c r="R156" i="5"/>
  <c r="S75" i="5"/>
  <c r="R75" i="5"/>
  <c r="R556" i="5"/>
  <c r="S556" i="5"/>
  <c r="S514" i="5"/>
  <c r="R514" i="5"/>
  <c r="R415" i="5"/>
  <c r="S415" i="5"/>
  <c r="S375" i="5"/>
  <c r="R375" i="5"/>
  <c r="R247" i="5"/>
  <c r="S247" i="5"/>
  <c r="S201" i="5"/>
  <c r="R201" i="5"/>
  <c r="R142" i="5"/>
  <c r="S142" i="5"/>
  <c r="S29" i="5"/>
  <c r="R29" i="5"/>
  <c r="S535" i="5"/>
  <c r="R535" i="5"/>
  <c r="R485" i="5"/>
  <c r="S485" i="5"/>
  <c r="S308" i="5"/>
  <c r="R308" i="5"/>
  <c r="S220" i="5"/>
  <c r="R220" i="5"/>
  <c r="S195" i="5"/>
  <c r="R195" i="5"/>
  <c r="R124" i="5"/>
  <c r="S124" i="5"/>
  <c r="R68" i="5"/>
  <c r="S68" i="5"/>
  <c r="AP525" i="5"/>
  <c r="AR525" i="5" s="1"/>
  <c r="AP23" i="5"/>
  <c r="AR23" i="5" s="1"/>
  <c r="AP462" i="5"/>
  <c r="AQ462" i="5" s="1"/>
  <c r="AP483" i="5"/>
  <c r="AQ483" i="5" s="1"/>
  <c r="AP244" i="5"/>
  <c r="AQ244" i="5" s="1"/>
  <c r="AP66" i="5"/>
  <c r="AR66" i="5" s="1"/>
  <c r="AP350" i="5"/>
  <c r="AR350" i="5" s="1"/>
  <c r="AP21" i="5"/>
  <c r="AR21" i="5" s="1"/>
  <c r="AP118" i="5"/>
  <c r="AQ118" i="5" s="1"/>
  <c r="AP219" i="5"/>
  <c r="AR219" i="5" s="1"/>
  <c r="AP345" i="5"/>
  <c r="AR345" i="5" s="1"/>
  <c r="AP498" i="5"/>
  <c r="AQ498" i="5" s="1"/>
  <c r="AP496" i="5"/>
  <c r="AQ496" i="5" s="1"/>
  <c r="AP392" i="5"/>
  <c r="AR392" i="5" s="1"/>
  <c r="AP428" i="5"/>
  <c r="AR428" i="5" s="1"/>
  <c r="AP194" i="5"/>
  <c r="AQ194" i="5" s="1"/>
  <c r="AP524" i="5"/>
  <c r="AQ524" i="5" s="1"/>
  <c r="AP142" i="5"/>
  <c r="AR142" i="5" s="1"/>
  <c r="AP544" i="5"/>
  <c r="AR544" i="5" s="1"/>
  <c r="AP93" i="5"/>
  <c r="AR93" i="5" s="1"/>
  <c r="AP372" i="5"/>
  <c r="AR372" i="5" s="1"/>
  <c r="AP436" i="5"/>
  <c r="AQ436" i="5" s="1"/>
  <c r="AP158" i="5"/>
  <c r="AR158" i="5" s="1"/>
  <c r="AP45" i="5"/>
  <c r="AQ45" i="5" s="1"/>
  <c r="AP237" i="5"/>
  <c r="AQ237" i="5" s="1"/>
  <c r="AP34" i="5"/>
  <c r="AQ34" i="5" s="1"/>
  <c r="AP368" i="5"/>
  <c r="AQ368" i="5" s="1"/>
  <c r="AP330" i="5"/>
  <c r="AQ330" i="5" s="1"/>
  <c r="AP205" i="5"/>
  <c r="AR205" i="5" s="1"/>
  <c r="AP522" i="5"/>
  <c r="AQ522" i="5" s="1"/>
  <c r="AP302" i="5"/>
  <c r="AR302" i="5" s="1"/>
  <c r="AP190" i="5"/>
  <c r="AR190" i="5" s="1"/>
  <c r="AP337" i="5"/>
  <c r="AQ337" i="5" s="1"/>
  <c r="AP22" i="5"/>
  <c r="AR22" i="5" s="1"/>
  <c r="AP257" i="5"/>
  <c r="AR257" i="5" s="1"/>
  <c r="AP558" i="5"/>
  <c r="AQ558" i="5" s="1"/>
  <c r="AP278" i="5"/>
  <c r="AQ278" i="5" s="1"/>
  <c r="AP438" i="5"/>
  <c r="AR438" i="5" s="1"/>
  <c r="AP477" i="5"/>
  <c r="AQ477" i="5" s="1"/>
  <c r="AP82" i="5"/>
  <c r="AQ82" i="5" s="1"/>
  <c r="AP20" i="5"/>
  <c r="AQ20" i="5" s="1"/>
  <c r="AP184" i="5"/>
  <c r="AR184" i="5" s="1"/>
  <c r="AP545" i="5"/>
  <c r="AR545" i="5" s="1"/>
  <c r="AP402" i="5"/>
  <c r="AR402" i="5" s="1"/>
  <c r="AP444" i="5"/>
  <c r="AR444" i="5" s="1"/>
  <c r="AP259" i="5"/>
  <c r="AR259" i="5" s="1"/>
  <c r="AP417" i="5"/>
  <c r="AQ417" i="5" s="1"/>
  <c r="AP460" i="5"/>
  <c r="AR460" i="5" s="1"/>
  <c r="AP144" i="5"/>
  <c r="AQ144" i="5" s="1"/>
  <c r="AP165" i="5"/>
  <c r="AQ165" i="5" s="1"/>
  <c r="AP542" i="5"/>
  <c r="AR542" i="5" s="1"/>
  <c r="AP262" i="5"/>
  <c r="AQ262" i="5" s="1"/>
  <c r="AP87" i="5"/>
  <c r="AR87" i="5" s="1"/>
  <c r="AP103" i="5"/>
  <c r="AQ103" i="5" s="1"/>
  <c r="AP211" i="5"/>
  <c r="AR211" i="5" s="1"/>
  <c r="AP378" i="5"/>
  <c r="AQ378" i="5" s="1"/>
  <c r="AP138" i="5"/>
  <c r="AQ138" i="5" s="1"/>
  <c r="AP493" i="5"/>
  <c r="AQ493" i="5" s="1"/>
  <c r="AP495" i="5"/>
  <c r="AQ495" i="5" s="1"/>
  <c r="AP104" i="5"/>
  <c r="AR104" i="5" s="1"/>
  <c r="AP384" i="5"/>
  <c r="AQ384" i="5" s="1"/>
  <c r="AP261" i="5"/>
  <c r="AQ261" i="5" s="1"/>
  <c r="AP70" i="5"/>
  <c r="AQ70" i="5" s="1"/>
  <c r="AP56" i="5"/>
  <c r="AQ56" i="5" s="1"/>
  <c r="AP397" i="5"/>
  <c r="AQ397" i="5" s="1"/>
  <c r="AP457" i="5"/>
  <c r="AR457" i="5" s="1"/>
  <c r="AP370" i="5"/>
  <c r="AR370" i="5" s="1"/>
  <c r="AP454" i="5"/>
  <c r="AR454" i="5" s="1"/>
  <c r="AP318" i="5"/>
  <c r="AR318" i="5" s="1"/>
  <c r="U312" i="5"/>
  <c r="V312" i="5"/>
  <c r="AN150" i="5"/>
  <c r="AO150" i="5"/>
  <c r="AO399" i="5"/>
  <c r="AN399" i="5"/>
  <c r="AO381" i="5"/>
  <c r="AN381" i="5"/>
  <c r="AO60" i="5"/>
  <c r="AN60" i="5"/>
  <c r="AO408" i="5"/>
  <c r="AN408" i="5"/>
  <c r="U427" i="5"/>
  <c r="V427" i="5"/>
  <c r="U409" i="5"/>
  <c r="V409" i="5"/>
  <c r="U271" i="5"/>
  <c r="V271" i="5"/>
  <c r="V557" i="5"/>
  <c r="U557" i="5"/>
  <c r="AN59" i="5"/>
  <c r="AO59" i="5"/>
  <c r="AP533" i="5"/>
  <c r="AQ533" i="5" s="1"/>
  <c r="AP404" i="5"/>
  <c r="AR404" i="5" s="1"/>
  <c r="AP488" i="5"/>
  <c r="AR488" i="5" s="1"/>
  <c r="AP291" i="5"/>
  <c r="AR291" i="5" s="1"/>
  <c r="AP260" i="5"/>
  <c r="AQ260" i="5" s="1"/>
  <c r="AP37" i="5"/>
  <c r="AR37" i="5" s="1"/>
  <c r="AP422" i="5"/>
  <c r="AQ422" i="5" s="1"/>
  <c r="AP226" i="5"/>
  <c r="AQ226" i="5" s="1"/>
  <c r="AP420" i="5"/>
  <c r="AR420" i="5" s="1"/>
  <c r="U384" i="5"/>
  <c r="V384" i="5"/>
  <c r="AN254" i="5"/>
  <c r="AO254" i="5"/>
  <c r="AO361" i="5"/>
  <c r="AN361" i="5"/>
  <c r="AO478" i="5"/>
  <c r="AN478" i="5"/>
  <c r="AN398" i="5"/>
  <c r="AO398" i="5"/>
  <c r="AN511" i="5"/>
  <c r="AO511" i="5"/>
  <c r="AO271" i="5"/>
  <c r="AN271" i="5"/>
  <c r="AN503" i="5"/>
  <c r="AO503" i="5"/>
  <c r="AN373" i="5"/>
  <c r="AO373" i="5"/>
  <c r="AO146" i="5"/>
  <c r="AN146" i="5"/>
  <c r="AO401" i="5"/>
  <c r="AN401" i="5"/>
  <c r="AN143" i="5"/>
  <c r="AO143" i="5"/>
  <c r="AN441" i="5"/>
  <c r="AO441" i="5"/>
  <c r="AN226" i="5"/>
  <c r="AO226" i="5"/>
  <c r="AO542" i="5"/>
  <c r="AN542" i="5"/>
  <c r="AN377" i="5"/>
  <c r="AO377" i="5"/>
  <c r="AO190" i="5"/>
  <c r="AN190" i="5"/>
  <c r="AO553" i="5"/>
  <c r="AN553" i="5"/>
  <c r="AN321" i="5"/>
  <c r="AO321" i="5"/>
  <c r="AN21" i="5"/>
  <c r="AO21" i="5"/>
  <c r="AN196" i="5"/>
  <c r="AO196" i="5"/>
  <c r="AN36" i="5"/>
  <c r="AO36" i="5"/>
  <c r="AN257" i="5"/>
  <c r="AO257" i="5"/>
  <c r="AM111" i="4"/>
  <c r="AN111" i="4" s="1"/>
  <c r="AN376" i="5"/>
  <c r="AO376" i="5"/>
  <c r="AM93" i="4"/>
  <c r="AN93" i="4" s="1"/>
  <c r="W93" i="4"/>
  <c r="U88" i="5"/>
  <c r="V88" i="5"/>
  <c r="AN248" i="5"/>
  <c r="AO248" i="5"/>
  <c r="AO57" i="5"/>
  <c r="AN57" i="5"/>
  <c r="U24" i="5"/>
  <c r="V24" i="5"/>
  <c r="AO280" i="5"/>
  <c r="AN280" i="5"/>
  <c r="U376" i="5"/>
  <c r="V376" i="5"/>
  <c r="AM40" i="4"/>
  <c r="AN40" i="4" s="1"/>
  <c r="W40" i="4"/>
  <c r="Y40" i="4" s="1"/>
  <c r="Z40" i="4" s="1"/>
  <c r="AF40" i="4" s="1"/>
  <c r="V309" i="5"/>
  <c r="U309" i="5"/>
  <c r="V497" i="5"/>
  <c r="U497" i="5"/>
  <c r="U490" i="5"/>
  <c r="V490" i="5"/>
  <c r="V556" i="5"/>
  <c r="U556" i="5"/>
  <c r="V541" i="5"/>
  <c r="U541" i="5"/>
  <c r="U421" i="5"/>
  <c r="V421" i="5"/>
  <c r="V370" i="5"/>
  <c r="U370" i="5"/>
  <c r="U404" i="5"/>
  <c r="V404" i="5"/>
  <c r="V551" i="5"/>
  <c r="U551" i="5"/>
  <c r="V483" i="5"/>
  <c r="U483" i="5"/>
  <c r="U365" i="5"/>
  <c r="V365" i="5"/>
  <c r="V343" i="5"/>
  <c r="U343" i="5"/>
  <c r="U241" i="5"/>
  <c r="V241" i="5"/>
  <c r="U137" i="5"/>
  <c r="V137" i="5"/>
  <c r="V543" i="5"/>
  <c r="U543" i="5"/>
  <c r="V358" i="5"/>
  <c r="U358" i="5"/>
  <c r="V294" i="5"/>
  <c r="U294" i="5"/>
  <c r="U335" i="5"/>
  <c r="V335" i="5"/>
  <c r="U265" i="5"/>
  <c r="V265" i="5"/>
  <c r="U130" i="5"/>
  <c r="V130" i="5"/>
  <c r="U527" i="5"/>
  <c r="V527" i="5"/>
  <c r="U333" i="5"/>
  <c r="V333" i="5"/>
  <c r="V361" i="5"/>
  <c r="U361" i="5"/>
  <c r="U330" i="5"/>
  <c r="V330" i="5"/>
  <c r="V263" i="5"/>
  <c r="U263" i="5"/>
  <c r="U119" i="5"/>
  <c r="V119" i="5"/>
  <c r="V545" i="5"/>
  <c r="U545" i="5"/>
  <c r="U501" i="5"/>
  <c r="V501" i="5"/>
  <c r="V355" i="5"/>
  <c r="U355" i="5"/>
  <c r="U326" i="5"/>
  <c r="V326" i="5"/>
  <c r="U260" i="5"/>
  <c r="V260" i="5"/>
  <c r="U115" i="5"/>
  <c r="V115" i="5"/>
  <c r="U505" i="5"/>
  <c r="V505" i="5"/>
  <c r="U369" i="5"/>
  <c r="V369" i="5"/>
  <c r="U258" i="5"/>
  <c r="V258" i="5"/>
  <c r="U206" i="5"/>
  <c r="V206" i="5"/>
  <c r="U36" i="5"/>
  <c r="V36" i="5"/>
  <c r="U463" i="5"/>
  <c r="V463" i="5"/>
  <c r="V499" i="5"/>
  <c r="U499" i="5"/>
  <c r="U341" i="5"/>
  <c r="V341" i="5"/>
  <c r="V299" i="5"/>
  <c r="U299" i="5"/>
  <c r="V215" i="5"/>
  <c r="U215" i="5"/>
  <c r="V63" i="5"/>
  <c r="U63" i="5"/>
  <c r="U517" i="5"/>
  <c r="V517" i="5"/>
  <c r="U385" i="5"/>
  <c r="V385" i="5"/>
  <c r="V292" i="5"/>
  <c r="U292" i="5"/>
  <c r="U211" i="5"/>
  <c r="V211" i="5"/>
  <c r="V39" i="5"/>
  <c r="U39" i="5"/>
  <c r="U94" i="5"/>
  <c r="V94" i="5"/>
  <c r="U66" i="5"/>
  <c r="V66" i="5"/>
  <c r="U70" i="5"/>
  <c r="V70" i="5"/>
  <c r="U448" i="5"/>
  <c r="V448" i="5"/>
  <c r="AP218" i="5"/>
  <c r="AR218" i="5" s="1"/>
  <c r="AO507" i="5"/>
  <c r="AN507" i="5"/>
  <c r="AO316" i="5"/>
  <c r="AN316" i="5"/>
  <c r="V456" i="5"/>
  <c r="U456" i="5"/>
  <c r="U248" i="5"/>
  <c r="V248" i="5"/>
  <c r="V297" i="5"/>
  <c r="U297" i="5"/>
  <c r="V548" i="5"/>
  <c r="U548" i="5"/>
  <c r="U396" i="5"/>
  <c r="V396" i="5"/>
  <c r="U430" i="5"/>
  <c r="V430" i="5"/>
  <c r="AP535" i="5"/>
  <c r="AQ535" i="5" s="1"/>
  <c r="AP551" i="5"/>
  <c r="AQ551" i="5" s="1"/>
  <c r="AP327" i="5"/>
  <c r="AQ327" i="5" s="1"/>
  <c r="AP134" i="5"/>
  <c r="AQ134" i="5" s="1"/>
  <c r="AP326" i="5"/>
  <c r="AR326" i="5" s="1"/>
  <c r="AP463" i="5"/>
  <c r="AQ463" i="5" s="1"/>
  <c r="AP77" i="5"/>
  <c r="AR77" i="5" s="1"/>
  <c r="AP126" i="5"/>
  <c r="AQ126" i="5" s="1"/>
  <c r="AP117" i="5"/>
  <c r="AQ117" i="5" s="1"/>
  <c r="AP530" i="5"/>
  <c r="AR530" i="5" s="1"/>
  <c r="AP321" i="5"/>
  <c r="AQ321" i="5" s="1"/>
  <c r="AN368" i="5"/>
  <c r="AO368" i="5"/>
  <c r="AO279" i="5"/>
  <c r="AN279" i="5"/>
  <c r="AN182" i="5"/>
  <c r="AO182" i="5"/>
  <c r="AO393" i="5"/>
  <c r="AN393" i="5"/>
  <c r="AO275" i="5"/>
  <c r="AN275" i="5"/>
  <c r="AN403" i="5"/>
  <c r="AO403" i="5"/>
  <c r="AN183" i="5"/>
  <c r="AO183" i="5"/>
  <c r="AO453" i="5"/>
  <c r="AN453" i="5"/>
  <c r="AN330" i="5"/>
  <c r="AO330" i="5"/>
  <c r="AO54" i="5"/>
  <c r="AN54" i="5"/>
  <c r="AO342" i="5"/>
  <c r="AN342" i="5"/>
  <c r="AN138" i="5"/>
  <c r="AO138" i="5"/>
  <c r="AN470" i="5"/>
  <c r="AO470" i="5"/>
  <c r="AN213" i="5"/>
  <c r="AO213" i="5"/>
  <c r="AO558" i="5"/>
  <c r="AN558" i="5"/>
  <c r="AN428" i="5"/>
  <c r="AO428" i="5"/>
  <c r="AN180" i="5"/>
  <c r="AO180" i="5"/>
  <c r="AN545" i="5"/>
  <c r="AO545" i="5"/>
  <c r="AO303" i="5"/>
  <c r="AN303" i="5"/>
  <c r="AO22" i="5"/>
  <c r="AN22" i="5"/>
  <c r="AN201" i="5"/>
  <c r="AO201" i="5"/>
  <c r="AM69" i="4"/>
  <c r="AN69" i="4" s="1"/>
  <c r="W69" i="4"/>
  <c r="U504" i="5"/>
  <c r="V504" i="5"/>
  <c r="AN337" i="5"/>
  <c r="AO337" i="5"/>
  <c r="V336" i="5"/>
  <c r="U336" i="5"/>
  <c r="AM71" i="4"/>
  <c r="AN71" i="4" s="1"/>
  <c r="W71" i="4"/>
  <c r="Y71" i="4" s="1"/>
  <c r="Z71" i="4" s="1"/>
  <c r="AF71" i="4" s="1"/>
  <c r="AN344" i="5"/>
  <c r="AO344" i="5"/>
  <c r="AO308" i="5"/>
  <c r="AN308" i="5"/>
  <c r="AN120" i="5"/>
  <c r="AO120" i="5"/>
  <c r="V224" i="5"/>
  <c r="U224" i="5"/>
  <c r="AO177" i="5"/>
  <c r="AN177" i="5"/>
  <c r="U264" i="5"/>
  <c r="V264" i="5"/>
  <c r="V480" i="5"/>
  <c r="U480" i="5"/>
  <c r="U314" i="5"/>
  <c r="V314" i="5"/>
  <c r="V444" i="5"/>
  <c r="U444" i="5"/>
  <c r="U422" i="5"/>
  <c r="V422" i="5"/>
  <c r="U395" i="5"/>
  <c r="V395" i="5"/>
  <c r="V491" i="5"/>
  <c r="U491" i="5"/>
  <c r="U325" i="5"/>
  <c r="V325" i="5"/>
  <c r="V390" i="5"/>
  <c r="U390" i="5"/>
  <c r="U359" i="5"/>
  <c r="V359" i="5"/>
  <c r="U450" i="5"/>
  <c r="V450" i="5"/>
  <c r="U459" i="5"/>
  <c r="V459" i="5"/>
  <c r="U319" i="5"/>
  <c r="V319" i="5"/>
  <c r="V305" i="5"/>
  <c r="U305" i="5"/>
  <c r="U210" i="5"/>
  <c r="V210" i="5"/>
  <c r="U126" i="5"/>
  <c r="V126" i="5"/>
  <c r="V426" i="5"/>
  <c r="U426" i="5"/>
  <c r="U347" i="5"/>
  <c r="V347" i="5"/>
  <c r="V407" i="5"/>
  <c r="U407" i="5"/>
  <c r="V303" i="5"/>
  <c r="U303" i="5"/>
  <c r="U207" i="5"/>
  <c r="V207" i="5"/>
  <c r="U131" i="5"/>
  <c r="V131" i="5"/>
  <c r="U412" i="5"/>
  <c r="V412" i="5"/>
  <c r="U503" i="5"/>
  <c r="V503" i="5"/>
  <c r="U275" i="5"/>
  <c r="V275" i="5"/>
  <c r="V300" i="5"/>
  <c r="U300" i="5"/>
  <c r="V236" i="5"/>
  <c r="U236" i="5"/>
  <c r="U123" i="5"/>
  <c r="V123" i="5"/>
  <c r="U465" i="5"/>
  <c r="V465" i="5"/>
  <c r="U474" i="5"/>
  <c r="V474" i="5"/>
  <c r="U391" i="5"/>
  <c r="V391" i="5"/>
  <c r="V298" i="5"/>
  <c r="U298" i="5"/>
  <c r="U235" i="5"/>
  <c r="V235" i="5"/>
  <c r="U101" i="5"/>
  <c r="V101" i="5"/>
  <c r="U460" i="5"/>
  <c r="V460" i="5"/>
  <c r="V433" i="5"/>
  <c r="U433" i="5"/>
  <c r="V327" i="5"/>
  <c r="U327" i="5"/>
  <c r="U172" i="5"/>
  <c r="V172" i="5"/>
  <c r="U479" i="5"/>
  <c r="V479" i="5"/>
  <c r="U434" i="5"/>
  <c r="V434" i="5"/>
  <c r="U458" i="5"/>
  <c r="V458" i="5"/>
  <c r="V429" i="5"/>
  <c r="U429" i="5"/>
  <c r="V251" i="5"/>
  <c r="U251" i="5"/>
  <c r="V204" i="5"/>
  <c r="U204" i="5"/>
  <c r="U22" i="5"/>
  <c r="V22" i="5"/>
  <c r="U431" i="5"/>
  <c r="V431" i="5"/>
  <c r="V317" i="5"/>
  <c r="U317" i="5"/>
  <c r="U250" i="5"/>
  <c r="V250" i="5"/>
  <c r="V201" i="5"/>
  <c r="U201" i="5"/>
  <c r="V139" i="5"/>
  <c r="U139" i="5"/>
  <c r="V41" i="5"/>
  <c r="U41" i="5"/>
  <c r="V33" i="5"/>
  <c r="U33" i="5"/>
  <c r="U34" i="5"/>
  <c r="V34" i="5"/>
  <c r="V296" i="5"/>
  <c r="U296" i="5"/>
  <c r="U432" i="5"/>
  <c r="V432" i="5"/>
  <c r="AO78" i="5"/>
  <c r="AN78" i="5"/>
  <c r="AO181" i="5"/>
  <c r="AN181" i="5"/>
  <c r="AO134" i="5"/>
  <c r="AN134" i="5"/>
  <c r="AO166" i="5"/>
  <c r="AN166" i="5"/>
  <c r="U440" i="5"/>
  <c r="V440" i="5"/>
  <c r="V476" i="5"/>
  <c r="U476" i="5"/>
  <c r="V291" i="5"/>
  <c r="U291" i="5"/>
  <c r="U281" i="5"/>
  <c r="V281" i="5"/>
  <c r="V229" i="5"/>
  <c r="U229" i="5"/>
  <c r="U269" i="5"/>
  <c r="V269" i="5"/>
  <c r="U268" i="5"/>
  <c r="V268" i="5"/>
  <c r="U133" i="5"/>
  <c r="V133" i="5"/>
  <c r="U346" i="5"/>
  <c r="V346" i="5"/>
  <c r="U154" i="5"/>
  <c r="V154" i="5"/>
  <c r="V38" i="5"/>
  <c r="U38" i="5"/>
  <c r="AM64" i="4"/>
  <c r="AN64" i="4" s="1"/>
  <c r="W64" i="4"/>
  <c r="X64" i="4" s="1"/>
  <c r="AJ64" i="4" s="1"/>
  <c r="AP78" i="5"/>
  <c r="AQ78" i="5" s="1"/>
  <c r="AP448" i="5"/>
  <c r="AQ448" i="5" s="1"/>
  <c r="AP487" i="5"/>
  <c r="AR487" i="5" s="1"/>
  <c r="U8" i="5"/>
  <c r="V8" i="5"/>
  <c r="AN288" i="5"/>
  <c r="AO288" i="5"/>
  <c r="AN378" i="5"/>
  <c r="AO378" i="5"/>
  <c r="AO516" i="5"/>
  <c r="AN516" i="5"/>
  <c r="AO529" i="5"/>
  <c r="AN529" i="5"/>
  <c r="AN522" i="5"/>
  <c r="AO522" i="5"/>
  <c r="AN19" i="5"/>
  <c r="AO19" i="5"/>
  <c r="AO366" i="5"/>
  <c r="AN366" i="5"/>
  <c r="AN154" i="5"/>
  <c r="AO154" i="5"/>
  <c r="AO391" i="5"/>
  <c r="AN391" i="5"/>
  <c r="AO269" i="5"/>
  <c r="AN269" i="5"/>
  <c r="AN524" i="5"/>
  <c r="AO524" i="5"/>
  <c r="AO250" i="5"/>
  <c r="AN250" i="5"/>
  <c r="AN55" i="5"/>
  <c r="AO55" i="5"/>
  <c r="AN386" i="5"/>
  <c r="AO386" i="5"/>
  <c r="AO126" i="5"/>
  <c r="AN126" i="5"/>
  <c r="AO489" i="5"/>
  <c r="AN489" i="5"/>
  <c r="AN310" i="5"/>
  <c r="AO310" i="5"/>
  <c r="AO86" i="5"/>
  <c r="AN86" i="5"/>
  <c r="AO461" i="5"/>
  <c r="AN461" i="5"/>
  <c r="AN214" i="5"/>
  <c r="AO214" i="5"/>
  <c r="AO357" i="5"/>
  <c r="AN357" i="5"/>
  <c r="AN124" i="5"/>
  <c r="AO124" i="5"/>
  <c r="V80" i="5"/>
  <c r="U80" i="5"/>
  <c r="V288" i="5"/>
  <c r="U288" i="5"/>
  <c r="AM126" i="4"/>
  <c r="AN126" i="4" s="1"/>
  <c r="W126" i="4"/>
  <c r="X126" i="4" s="1"/>
  <c r="AJ126" i="4" s="1"/>
  <c r="AM19" i="4"/>
  <c r="AN19" i="4" s="1"/>
  <c r="W19" i="4"/>
  <c r="Y19" i="4" s="1"/>
  <c r="Z19" i="4" s="1"/>
  <c r="AF19" i="4" s="1"/>
  <c r="AN148" i="5"/>
  <c r="AO148" i="5"/>
  <c r="U56" i="5"/>
  <c r="V56" i="5"/>
  <c r="W30" i="4"/>
  <c r="Y30" i="4" s="1"/>
  <c r="Z30" i="4" s="1"/>
  <c r="AF30" i="4" s="1"/>
  <c r="AN424" i="5"/>
  <c r="AO424" i="5"/>
  <c r="AM100" i="4"/>
  <c r="AN100" i="4" s="1"/>
  <c r="W100" i="4"/>
  <c r="U496" i="5"/>
  <c r="V496" i="5"/>
  <c r="V344" i="5"/>
  <c r="U344" i="5"/>
  <c r="AO448" i="5"/>
  <c r="AN448" i="5"/>
  <c r="U100" i="5"/>
  <c r="V100" i="5"/>
  <c r="U462" i="5"/>
  <c r="V462" i="5"/>
  <c r="V418" i="5"/>
  <c r="U418" i="5"/>
  <c r="V380" i="5"/>
  <c r="U380" i="5"/>
  <c r="U242" i="5"/>
  <c r="V242" i="5"/>
  <c r="V69" i="5"/>
  <c r="U69" i="5"/>
  <c r="V67" i="5"/>
  <c r="U67" i="5"/>
  <c r="U194" i="5"/>
  <c r="V194" i="5"/>
  <c r="V338" i="5"/>
  <c r="U338" i="5"/>
  <c r="U515" i="5"/>
  <c r="V515" i="5"/>
  <c r="U247" i="5"/>
  <c r="V247" i="5"/>
  <c r="U253" i="5"/>
  <c r="V253" i="5"/>
  <c r="U205" i="5"/>
  <c r="V205" i="5"/>
  <c r="U50" i="5"/>
  <c r="V50" i="5"/>
  <c r="U529" i="5"/>
  <c r="V529" i="5"/>
  <c r="U478" i="5"/>
  <c r="V478" i="5"/>
  <c r="V214" i="5"/>
  <c r="U214" i="5"/>
  <c r="U246" i="5"/>
  <c r="V246" i="5"/>
  <c r="V239" i="5"/>
  <c r="U239" i="5"/>
  <c r="U92" i="5"/>
  <c r="V92" i="5"/>
  <c r="V560" i="5"/>
  <c r="U560" i="5"/>
  <c r="U454" i="5"/>
  <c r="V454" i="5"/>
  <c r="U372" i="5"/>
  <c r="V372" i="5"/>
  <c r="U231" i="5"/>
  <c r="V231" i="5"/>
  <c r="V227" i="5"/>
  <c r="U227" i="5"/>
  <c r="V61" i="5"/>
  <c r="U61" i="5"/>
  <c r="U493" i="5"/>
  <c r="V493" i="5"/>
  <c r="U537" i="5"/>
  <c r="V537" i="5"/>
  <c r="U436" i="5"/>
  <c r="V436" i="5"/>
  <c r="U226" i="5"/>
  <c r="V226" i="5"/>
  <c r="U212" i="5"/>
  <c r="V212" i="5"/>
  <c r="U53" i="5"/>
  <c r="V53" i="5"/>
  <c r="U414" i="5"/>
  <c r="V414" i="5"/>
  <c r="U366" i="5"/>
  <c r="V366" i="5"/>
  <c r="U254" i="5"/>
  <c r="V254" i="5"/>
  <c r="U134" i="5"/>
  <c r="V134" i="5"/>
  <c r="V555" i="5"/>
  <c r="U555" i="5"/>
  <c r="U519" i="5"/>
  <c r="V519" i="5"/>
  <c r="U411" i="5"/>
  <c r="V411" i="5"/>
  <c r="V315" i="5"/>
  <c r="U315" i="5"/>
  <c r="U279" i="5"/>
  <c r="V279" i="5"/>
  <c r="U118" i="5"/>
  <c r="V118" i="5"/>
  <c r="V531" i="5"/>
  <c r="U531" i="5"/>
  <c r="V494" i="5"/>
  <c r="U494" i="5"/>
  <c r="V362" i="5"/>
  <c r="U362" i="5"/>
  <c r="V274" i="5"/>
  <c r="U274" i="5"/>
  <c r="U187" i="5"/>
  <c r="V187" i="5"/>
  <c r="U98" i="5"/>
  <c r="V98" i="5"/>
  <c r="V47" i="5"/>
  <c r="U47" i="5"/>
  <c r="U84" i="5"/>
  <c r="V84" i="5"/>
  <c r="AO20" i="5"/>
  <c r="AN20" i="5"/>
  <c r="AM27" i="4"/>
  <c r="AN27" i="4" s="1"/>
  <c r="W27" i="4"/>
  <c r="Y27" i="4" s="1"/>
  <c r="Z27" i="4" s="1"/>
  <c r="AF27" i="4" s="1"/>
  <c r="AN216" i="5"/>
  <c r="AO216" i="5"/>
  <c r="AN151" i="5"/>
  <c r="AO151" i="5"/>
  <c r="AO84" i="5"/>
  <c r="AN84" i="5"/>
  <c r="AN101" i="5"/>
  <c r="AO101" i="5"/>
  <c r="U512" i="5"/>
  <c r="V512" i="5"/>
  <c r="U435" i="5"/>
  <c r="V435" i="5"/>
  <c r="U244" i="5"/>
  <c r="V244" i="5"/>
  <c r="U82" i="5"/>
  <c r="V82" i="5"/>
  <c r="U484" i="5"/>
  <c r="V484" i="5"/>
  <c r="U453" i="5"/>
  <c r="V453" i="5"/>
  <c r="V57" i="5"/>
  <c r="U57" i="5"/>
  <c r="V549" i="5"/>
  <c r="U549" i="5"/>
  <c r="V428" i="5"/>
  <c r="U428" i="5"/>
  <c r="V322" i="5"/>
  <c r="U322" i="5"/>
  <c r="U393" i="5"/>
  <c r="V393" i="5"/>
  <c r="V27" i="5"/>
  <c r="U27" i="5"/>
  <c r="AP101" i="5"/>
  <c r="AR101" i="5" s="1"/>
  <c r="AP143" i="5"/>
  <c r="AR143" i="5" s="1"/>
  <c r="AP81" i="5"/>
  <c r="AQ81" i="5" s="1"/>
  <c r="U256" i="5"/>
  <c r="V256" i="5"/>
  <c r="V320" i="5"/>
  <c r="U320" i="5"/>
  <c r="AO290" i="5"/>
  <c r="AN290" i="5"/>
  <c r="AN245" i="5"/>
  <c r="AO245" i="5"/>
  <c r="AO429" i="5"/>
  <c r="AN429" i="5"/>
  <c r="AO471" i="5"/>
  <c r="AN471" i="5"/>
  <c r="AO407" i="5"/>
  <c r="AN407" i="5"/>
  <c r="AO417" i="5"/>
  <c r="AN417" i="5"/>
  <c r="AN90" i="5"/>
  <c r="AO90" i="5"/>
  <c r="AN452" i="5"/>
  <c r="AO452" i="5"/>
  <c r="AN266" i="5"/>
  <c r="AO266" i="5"/>
  <c r="AN425" i="5"/>
  <c r="AO425" i="5"/>
  <c r="AO329" i="5"/>
  <c r="AN329" i="5"/>
  <c r="AO44" i="5"/>
  <c r="AN44" i="5"/>
  <c r="AO319" i="5"/>
  <c r="AN319" i="5"/>
  <c r="AO94" i="5"/>
  <c r="AN94" i="5"/>
  <c r="AO405" i="5"/>
  <c r="AN405" i="5"/>
  <c r="AN188" i="5"/>
  <c r="AO188" i="5"/>
  <c r="AO76" i="5"/>
  <c r="AN76" i="5"/>
  <c r="AN375" i="5"/>
  <c r="AO375" i="5"/>
  <c r="AN165" i="5"/>
  <c r="AO165" i="5"/>
  <c r="AO295" i="5"/>
  <c r="AN295" i="5"/>
  <c r="AN100" i="5"/>
  <c r="AO100" i="5"/>
  <c r="V368" i="5"/>
  <c r="U368" i="5"/>
  <c r="W86" i="4"/>
  <c r="AM86" i="4"/>
  <c r="AN86" i="4" s="1"/>
  <c r="AN236" i="5"/>
  <c r="AO236" i="5"/>
  <c r="AO208" i="5"/>
  <c r="AN208" i="5"/>
  <c r="U400" i="5"/>
  <c r="V400" i="5"/>
  <c r="V112" i="5"/>
  <c r="U112" i="5"/>
  <c r="AO144" i="5"/>
  <c r="AN144" i="5"/>
  <c r="U526" i="5"/>
  <c r="V526" i="5"/>
  <c r="AM137" i="4"/>
  <c r="AN137" i="4" s="1"/>
  <c r="AO480" i="5"/>
  <c r="AN480" i="5"/>
  <c r="AO300" i="5"/>
  <c r="AN300" i="5"/>
  <c r="V328" i="5"/>
  <c r="U328" i="5"/>
  <c r="AO35" i="5"/>
  <c r="AN35" i="5"/>
  <c r="U518" i="5"/>
  <c r="V518" i="5"/>
  <c r="U349" i="5"/>
  <c r="V349" i="5"/>
  <c r="U307" i="5"/>
  <c r="V307" i="5"/>
  <c r="V285" i="5"/>
  <c r="U285" i="5"/>
  <c r="U141" i="5"/>
  <c r="V141" i="5"/>
  <c r="U19" i="5"/>
  <c r="V19" i="5"/>
  <c r="U552" i="5"/>
  <c r="V552" i="5"/>
  <c r="V44" i="5"/>
  <c r="U44" i="5"/>
  <c r="U510" i="5"/>
  <c r="V510" i="5"/>
  <c r="V481" i="5"/>
  <c r="U481" i="5"/>
  <c r="U420" i="5"/>
  <c r="V420" i="5"/>
  <c r="U323" i="5"/>
  <c r="V323" i="5"/>
  <c r="U190" i="5"/>
  <c r="V190" i="5"/>
  <c r="U28" i="5"/>
  <c r="V28" i="5"/>
  <c r="V506" i="5"/>
  <c r="U506" i="5"/>
  <c r="U443" i="5"/>
  <c r="V443" i="5"/>
  <c r="V415" i="5"/>
  <c r="U415" i="5"/>
  <c r="V316" i="5"/>
  <c r="U316" i="5"/>
  <c r="U203" i="5"/>
  <c r="V203" i="5"/>
  <c r="U30" i="5"/>
  <c r="V30" i="5"/>
  <c r="U495" i="5"/>
  <c r="V495" i="5"/>
  <c r="V339" i="5"/>
  <c r="U339" i="5"/>
  <c r="U437" i="5"/>
  <c r="V437" i="5"/>
  <c r="V313" i="5"/>
  <c r="U313" i="5"/>
  <c r="U196" i="5"/>
  <c r="V196" i="5"/>
  <c r="U502" i="5"/>
  <c r="V502" i="5"/>
  <c r="U470" i="5"/>
  <c r="V470" i="5"/>
  <c r="V507" i="5"/>
  <c r="U507" i="5"/>
  <c r="U405" i="5"/>
  <c r="V405" i="5"/>
  <c r="V311" i="5"/>
  <c r="U311" i="5"/>
  <c r="V188" i="5"/>
  <c r="U188" i="5"/>
  <c r="Q10" i="5"/>
  <c r="AG10" i="5"/>
  <c r="T10" i="5"/>
  <c r="AM10" i="5"/>
  <c r="W10" i="5"/>
  <c r="V383" i="5"/>
  <c r="U383" i="5"/>
  <c r="V329" i="5"/>
  <c r="U329" i="5"/>
  <c r="U233" i="5"/>
  <c r="V233" i="5"/>
  <c r="U114" i="5"/>
  <c r="V114" i="5"/>
  <c r="U514" i="5"/>
  <c r="V514" i="5"/>
  <c r="U498" i="5"/>
  <c r="V498" i="5"/>
  <c r="U382" i="5"/>
  <c r="V382" i="5"/>
  <c r="U356" i="5"/>
  <c r="V356" i="5"/>
  <c r="U252" i="5"/>
  <c r="V252" i="5"/>
  <c r="U125" i="5"/>
  <c r="V125" i="5"/>
  <c r="V487" i="5"/>
  <c r="U487" i="5"/>
  <c r="V451" i="5"/>
  <c r="U451" i="5"/>
  <c r="U354" i="5"/>
  <c r="V354" i="5"/>
  <c r="U249" i="5"/>
  <c r="V249" i="5"/>
  <c r="V151" i="5"/>
  <c r="U151" i="5"/>
  <c r="U74" i="5"/>
  <c r="V74" i="5"/>
  <c r="V26" i="5"/>
  <c r="U26" i="5"/>
  <c r="U87" i="5"/>
  <c r="V87" i="5"/>
  <c r="AN292" i="5"/>
  <c r="AO292" i="5"/>
  <c r="V546" i="5"/>
  <c r="U546" i="5"/>
  <c r="AO456" i="5"/>
  <c r="AN456" i="5"/>
  <c r="AO255" i="5"/>
  <c r="AN255" i="5"/>
  <c r="AO229" i="5"/>
  <c r="AN229" i="5"/>
  <c r="U472" i="5"/>
  <c r="V472" i="5"/>
  <c r="U464" i="5"/>
  <c r="V464" i="5"/>
  <c r="U550" i="5"/>
  <c r="V550" i="5"/>
  <c r="U375" i="5"/>
  <c r="V375" i="5"/>
  <c r="U37" i="5"/>
  <c r="V37" i="5"/>
  <c r="U403" i="5"/>
  <c r="V403" i="5"/>
  <c r="U377" i="5"/>
  <c r="V377" i="5"/>
  <c r="V161" i="5"/>
  <c r="U161" i="5"/>
  <c r="U91" i="5"/>
  <c r="V91" i="5"/>
  <c r="U280" i="5"/>
  <c r="V280" i="5"/>
  <c r="AP229" i="5"/>
  <c r="AR229" i="5" s="1"/>
  <c r="AP131" i="5"/>
  <c r="AQ131" i="5" s="1"/>
  <c r="AP94" i="5"/>
  <c r="AQ94" i="5" s="1"/>
  <c r="AP274" i="5"/>
  <c r="AQ274" i="5" s="1"/>
  <c r="AP79" i="5"/>
  <c r="AR79" i="5" s="1"/>
  <c r="AP127" i="5"/>
  <c r="AR127" i="5" s="1"/>
  <c r="AM68" i="4"/>
  <c r="AN68" i="4" s="1"/>
  <c r="W68" i="4"/>
  <c r="AO95" i="5"/>
  <c r="AN95" i="5"/>
  <c r="AN202" i="5"/>
  <c r="AO202" i="5"/>
  <c r="AO350" i="5"/>
  <c r="AN350" i="5"/>
  <c r="AN351" i="5"/>
  <c r="AO351" i="5"/>
  <c r="AO517" i="5"/>
  <c r="AN517" i="5"/>
  <c r="AN345" i="5"/>
  <c r="AO345" i="5"/>
  <c r="AO483" i="5"/>
  <c r="AN483" i="5"/>
  <c r="AN364" i="5"/>
  <c r="AO364" i="5"/>
  <c r="AN244" i="5"/>
  <c r="AO244" i="5"/>
  <c r="AN502" i="5"/>
  <c r="AO502" i="5"/>
  <c r="AO247" i="5"/>
  <c r="AN247" i="5"/>
  <c r="AN559" i="5"/>
  <c r="AO559" i="5"/>
  <c r="AN315" i="5"/>
  <c r="AO315" i="5"/>
  <c r="AN77" i="5"/>
  <c r="AO77" i="5"/>
  <c r="AN468" i="5"/>
  <c r="AO468" i="5"/>
  <c r="AN323" i="5"/>
  <c r="AO323" i="5"/>
  <c r="AN52" i="5"/>
  <c r="AO52" i="5"/>
  <c r="AO414" i="5"/>
  <c r="AN414" i="5"/>
  <c r="AN170" i="5"/>
  <c r="AO170" i="5"/>
  <c r="AN317" i="5"/>
  <c r="AO317" i="5"/>
  <c r="AO74" i="5"/>
  <c r="AN74" i="5"/>
  <c r="U352" i="5"/>
  <c r="V352" i="5"/>
  <c r="AN440" i="5"/>
  <c r="AO440" i="5"/>
  <c r="AN203" i="5"/>
  <c r="AO203" i="5"/>
  <c r="U272" i="5"/>
  <c r="V272" i="5"/>
  <c r="U424" i="5"/>
  <c r="V424" i="5"/>
  <c r="AM77" i="4"/>
  <c r="W77" i="4"/>
  <c r="X77" i="4" s="1"/>
  <c r="AM150" i="4"/>
  <c r="AN150" i="4" s="1"/>
  <c r="W150" i="4"/>
  <c r="X150" i="4" s="1"/>
  <c r="AJ150" i="4" s="1"/>
  <c r="V304" i="5"/>
  <c r="U304" i="5"/>
  <c r="V208" i="5"/>
  <c r="U208" i="5"/>
  <c r="AN464" i="5"/>
  <c r="AO464" i="5"/>
  <c r="AM23" i="4"/>
  <c r="AN23" i="4" s="1"/>
  <c r="W23" i="4"/>
  <c r="AO107" i="5"/>
  <c r="AN107" i="5"/>
  <c r="V160" i="5"/>
  <c r="U160" i="5"/>
  <c r="AO99" i="5"/>
  <c r="AN99" i="5"/>
  <c r="AM8" i="4"/>
  <c r="AN8" i="4" s="1"/>
  <c r="W8" i="4"/>
  <c r="U536" i="5"/>
  <c r="V536" i="5"/>
  <c r="V273" i="5"/>
  <c r="U273" i="5"/>
  <c r="U146" i="5"/>
  <c r="V146" i="5"/>
  <c r="U221" i="5"/>
  <c r="V221" i="5"/>
  <c r="U419" i="5"/>
  <c r="V419" i="5"/>
  <c r="V553" i="5"/>
  <c r="U553" i="5"/>
  <c r="V539" i="5"/>
  <c r="U539" i="5"/>
  <c r="V523" i="5"/>
  <c r="U523" i="5"/>
  <c r="V482" i="5"/>
  <c r="U482" i="5"/>
  <c r="U447" i="5"/>
  <c r="V447" i="5"/>
  <c r="U387" i="5"/>
  <c r="V387" i="5"/>
  <c r="V237" i="5"/>
  <c r="U237" i="5"/>
  <c r="U79" i="5"/>
  <c r="V79" i="5"/>
  <c r="V520" i="5"/>
  <c r="U520" i="5"/>
  <c r="U477" i="5"/>
  <c r="V477" i="5"/>
  <c r="U324" i="5"/>
  <c r="V324" i="5"/>
  <c r="V381" i="5"/>
  <c r="U381" i="5"/>
  <c r="V284" i="5"/>
  <c r="U284" i="5"/>
  <c r="V186" i="5"/>
  <c r="U186" i="5"/>
  <c r="U509" i="5"/>
  <c r="V509" i="5"/>
  <c r="U473" i="5"/>
  <c r="V473" i="5"/>
  <c r="U508" i="5"/>
  <c r="V508" i="5"/>
  <c r="V410" i="5"/>
  <c r="U410" i="5"/>
  <c r="U276" i="5"/>
  <c r="V276" i="5"/>
  <c r="V185" i="5"/>
  <c r="U185" i="5"/>
  <c r="U559" i="5"/>
  <c r="V559" i="5"/>
  <c r="U439" i="5"/>
  <c r="V439" i="5"/>
  <c r="U466" i="5"/>
  <c r="V466" i="5"/>
  <c r="V367" i="5"/>
  <c r="U367" i="5"/>
  <c r="U266" i="5"/>
  <c r="V266" i="5"/>
  <c r="V183" i="5"/>
  <c r="U183" i="5"/>
  <c r="U471" i="5"/>
  <c r="V471" i="5"/>
  <c r="V353" i="5"/>
  <c r="U353" i="5"/>
  <c r="V262" i="5"/>
  <c r="U262" i="5"/>
  <c r="U180" i="5"/>
  <c r="V180" i="5"/>
  <c r="U109" i="5"/>
  <c r="V109" i="5"/>
  <c r="V544" i="5"/>
  <c r="U544" i="5"/>
  <c r="V468" i="5"/>
  <c r="U468" i="5"/>
  <c r="V348" i="5"/>
  <c r="U348" i="5"/>
  <c r="U293" i="5"/>
  <c r="V293" i="5"/>
  <c r="V230" i="5"/>
  <c r="U230" i="5"/>
  <c r="V156" i="5"/>
  <c r="U156" i="5"/>
  <c r="U461" i="5"/>
  <c r="V461" i="5"/>
  <c r="V379" i="5"/>
  <c r="U379" i="5"/>
  <c r="V310" i="5"/>
  <c r="U310" i="5"/>
  <c r="U225" i="5"/>
  <c r="V225" i="5"/>
  <c r="U155" i="5"/>
  <c r="V155" i="5"/>
  <c r="V59" i="5"/>
  <c r="U59" i="5"/>
  <c r="U121" i="5"/>
  <c r="V121" i="5"/>
  <c r="V105" i="5"/>
  <c r="U105" i="5"/>
  <c r="AO91" i="5"/>
  <c r="AN91" i="5"/>
  <c r="V554" i="5"/>
  <c r="U554" i="5"/>
  <c r="AN34" i="5"/>
  <c r="AO34" i="5"/>
  <c r="AO46" i="5"/>
  <c r="AN46" i="5"/>
  <c r="AN411" i="5"/>
  <c r="AO411" i="5"/>
  <c r="AO535" i="5"/>
  <c r="AN535" i="5"/>
  <c r="U150" i="5"/>
  <c r="V150" i="5"/>
  <c r="U245" i="5"/>
  <c r="V245" i="5"/>
  <c r="V93" i="5"/>
  <c r="U93" i="5"/>
  <c r="U222" i="5"/>
  <c r="V222" i="5"/>
  <c r="U191" i="5"/>
  <c r="V191" i="5"/>
  <c r="V282" i="5"/>
  <c r="U282" i="5"/>
  <c r="V364" i="5"/>
  <c r="U364" i="5"/>
  <c r="U525" i="5"/>
  <c r="V525" i="5"/>
  <c r="V318" i="5"/>
  <c r="U318" i="5"/>
  <c r="U43" i="5"/>
  <c r="V43" i="5"/>
  <c r="AP232" i="5"/>
  <c r="AQ232" i="5" s="1"/>
  <c r="AP381" i="5"/>
  <c r="AQ381" i="5" s="1"/>
  <c r="AP255" i="5"/>
  <c r="AQ255" i="5" s="1"/>
  <c r="AP531" i="5"/>
  <c r="AQ531" i="5" s="1"/>
  <c r="AP210" i="5"/>
  <c r="AQ210" i="5" s="1"/>
  <c r="AP360" i="5"/>
  <c r="AR360" i="5" s="1"/>
  <c r="AP216" i="5"/>
  <c r="AR216" i="5" s="1"/>
  <c r="AP30" i="5"/>
  <c r="AR30" i="5" s="1"/>
  <c r="AP140" i="5"/>
  <c r="AR140" i="5" s="1"/>
  <c r="AO501" i="5"/>
  <c r="AN501" i="5"/>
  <c r="AN548" i="5"/>
  <c r="AO548" i="5"/>
  <c r="AO187" i="5"/>
  <c r="AN187" i="5"/>
  <c r="AN119" i="5"/>
  <c r="AO119" i="5"/>
  <c r="AN509" i="5"/>
  <c r="AO509" i="5"/>
  <c r="AN339" i="5"/>
  <c r="AO339" i="5"/>
  <c r="AO544" i="5"/>
  <c r="AN544" i="5"/>
  <c r="AO402" i="5"/>
  <c r="AN402" i="5"/>
  <c r="AO230" i="5"/>
  <c r="AN230" i="5"/>
  <c r="AN443" i="5"/>
  <c r="AO443" i="5"/>
  <c r="AN246" i="5"/>
  <c r="AO246" i="5"/>
  <c r="AN297" i="5"/>
  <c r="AO297" i="5"/>
  <c r="AO241" i="5"/>
  <c r="AN241" i="5"/>
  <c r="AN63" i="5"/>
  <c r="AO63" i="5"/>
  <c r="AN515" i="5"/>
  <c r="AO515" i="5"/>
  <c r="AN191" i="5"/>
  <c r="AO191" i="5"/>
  <c r="AN37" i="5"/>
  <c r="AO37" i="5"/>
  <c r="AO218" i="5"/>
  <c r="AN218" i="5"/>
  <c r="AN117" i="5"/>
  <c r="AO117" i="5"/>
  <c r="AO291" i="5"/>
  <c r="AN291" i="5"/>
  <c r="AO75" i="5"/>
  <c r="AN75" i="5"/>
  <c r="AM157" i="4"/>
  <c r="AN157" i="4" s="1"/>
  <c r="W157" i="4"/>
  <c r="X157" i="4" s="1"/>
  <c r="U192" i="5"/>
  <c r="V192" i="5"/>
  <c r="U232" i="5"/>
  <c r="V232" i="5"/>
  <c r="AN336" i="5"/>
  <c r="AO336" i="5"/>
  <c r="AN227" i="5"/>
  <c r="AO227" i="5"/>
  <c r="AN121" i="5"/>
  <c r="AO121" i="5"/>
  <c r="AN184" i="5"/>
  <c r="AO184" i="5"/>
  <c r="AN123" i="5"/>
  <c r="AO123" i="5"/>
  <c r="AM95" i="4"/>
  <c r="AN95" i="4" s="1"/>
  <c r="W95" i="4"/>
  <c r="U485" i="5"/>
  <c r="V485" i="5"/>
  <c r="V457" i="5"/>
  <c r="U457" i="5"/>
  <c r="V181" i="5"/>
  <c r="U181" i="5"/>
  <c r="V547" i="5"/>
  <c r="U547" i="5"/>
  <c r="U142" i="5"/>
  <c r="V142" i="5"/>
  <c r="U492" i="5"/>
  <c r="V492" i="5"/>
  <c r="V542" i="5"/>
  <c r="U542" i="5"/>
  <c r="U467" i="5"/>
  <c r="V467" i="5"/>
  <c r="V445" i="5"/>
  <c r="U445" i="5"/>
  <c r="U455" i="5"/>
  <c r="V455" i="5"/>
  <c r="U357" i="5"/>
  <c r="V357" i="5"/>
  <c r="V350" i="5"/>
  <c r="U350" i="5"/>
  <c r="V306" i="5"/>
  <c r="U306" i="5"/>
  <c r="U177" i="5"/>
  <c r="V177" i="5"/>
  <c r="U423" i="5"/>
  <c r="V423" i="5"/>
  <c r="V452" i="5"/>
  <c r="U452" i="5"/>
  <c r="U399" i="5"/>
  <c r="V399" i="5"/>
  <c r="U345" i="5"/>
  <c r="V345" i="5"/>
  <c r="U135" i="5"/>
  <c r="V135" i="5"/>
  <c r="V170" i="5"/>
  <c r="U170" i="5"/>
  <c r="U397" i="5"/>
  <c r="V397" i="5"/>
  <c r="U446" i="5"/>
  <c r="V446" i="5"/>
  <c r="V441" i="5"/>
  <c r="U441" i="5"/>
  <c r="V378" i="5"/>
  <c r="U378" i="5"/>
  <c r="U334" i="5"/>
  <c r="V334" i="5"/>
  <c r="V169" i="5"/>
  <c r="U169" i="5"/>
  <c r="U524" i="5"/>
  <c r="V524" i="5"/>
  <c r="U398" i="5"/>
  <c r="V398" i="5"/>
  <c r="U417" i="5"/>
  <c r="V417" i="5"/>
  <c r="V337" i="5"/>
  <c r="U337" i="5"/>
  <c r="V332" i="5"/>
  <c r="U332" i="5"/>
  <c r="U140" i="5"/>
  <c r="V140" i="5"/>
  <c r="U442" i="5"/>
  <c r="V442" i="5"/>
  <c r="U228" i="5"/>
  <c r="V228" i="5"/>
  <c r="V321" i="5"/>
  <c r="U321" i="5"/>
  <c r="V199" i="5"/>
  <c r="U199" i="5"/>
  <c r="V85" i="5"/>
  <c r="U85" i="5"/>
  <c r="U540" i="5"/>
  <c r="V540" i="5"/>
  <c r="U438" i="5"/>
  <c r="V438" i="5"/>
  <c r="U195" i="5"/>
  <c r="V195" i="5"/>
  <c r="U261" i="5"/>
  <c r="V261" i="5"/>
  <c r="V174" i="5"/>
  <c r="U174" i="5"/>
  <c r="V106" i="5"/>
  <c r="U106" i="5"/>
  <c r="U425" i="5"/>
  <c r="V425" i="5"/>
  <c r="V340" i="5"/>
  <c r="U340" i="5"/>
  <c r="V290" i="5"/>
  <c r="U290" i="5"/>
  <c r="U243" i="5"/>
  <c r="V243" i="5"/>
  <c r="U95" i="5"/>
  <c r="V95" i="5"/>
  <c r="U52" i="5"/>
  <c r="V52" i="5"/>
  <c r="U83" i="5"/>
  <c r="V83" i="5"/>
  <c r="V89" i="5"/>
  <c r="U89" i="5"/>
  <c r="AO307" i="5"/>
  <c r="AN307" i="5"/>
  <c r="AO104" i="5"/>
  <c r="AN104" i="5"/>
  <c r="AM108" i="4"/>
  <c r="AN108" i="4" s="1"/>
  <c r="W108" i="4"/>
  <c r="Y108" i="4" s="1"/>
  <c r="Z108" i="4" s="1"/>
  <c r="AO469" i="5"/>
  <c r="AN469" i="5"/>
  <c r="AN460" i="5"/>
  <c r="AO460" i="5"/>
  <c r="AO531" i="5"/>
  <c r="AN531" i="5"/>
  <c r="AO237" i="5"/>
  <c r="AN237" i="5"/>
  <c r="V538" i="5"/>
  <c r="U538" i="5"/>
  <c r="U516" i="5"/>
  <c r="V516" i="5"/>
  <c r="U351" i="5"/>
  <c r="V351" i="5"/>
  <c r="V513" i="5"/>
  <c r="U513" i="5"/>
  <c r="U475" i="5"/>
  <c r="V475" i="5"/>
  <c r="V371" i="5"/>
  <c r="U371" i="5"/>
  <c r="AP447" i="5"/>
  <c r="AQ447" i="5" s="1"/>
  <c r="AP181" i="5"/>
  <c r="AR181" i="5" s="1"/>
  <c r="AP517" i="5"/>
  <c r="AQ517" i="5" s="1"/>
  <c r="AP426" i="5"/>
  <c r="AQ426" i="5" s="1"/>
  <c r="AP312" i="5"/>
  <c r="AQ312" i="5" s="1"/>
  <c r="AP239" i="5"/>
  <c r="AR239" i="5" s="1"/>
  <c r="AP474" i="5"/>
  <c r="AQ474" i="5" s="1"/>
  <c r="AP296" i="5"/>
  <c r="AQ296" i="5" s="1"/>
  <c r="V152" i="5"/>
  <c r="U152" i="5"/>
  <c r="AO400" i="5"/>
  <c r="AN400" i="5"/>
  <c r="U488" i="5"/>
  <c r="V488" i="5"/>
  <c r="AO353" i="5"/>
  <c r="AN353" i="5"/>
  <c r="AN439" i="5"/>
  <c r="AO439" i="5"/>
  <c r="AO523" i="5"/>
  <c r="AN523" i="5"/>
  <c r="AN479" i="5"/>
  <c r="AO479" i="5"/>
  <c r="AN466" i="5"/>
  <c r="AO466" i="5"/>
  <c r="AN268" i="5"/>
  <c r="AO268" i="5"/>
  <c r="AO513" i="5"/>
  <c r="AN513" i="5"/>
  <c r="AO277" i="5"/>
  <c r="AN277" i="5"/>
  <c r="AN158" i="5"/>
  <c r="AO158" i="5"/>
  <c r="AO382" i="5"/>
  <c r="AN382" i="5"/>
  <c r="AO242" i="5"/>
  <c r="AN242" i="5"/>
  <c r="AO494" i="5"/>
  <c r="AN494" i="5"/>
  <c r="AO327" i="5"/>
  <c r="AN327" i="5"/>
  <c r="AO30" i="5"/>
  <c r="AN30" i="5"/>
  <c r="AN333" i="5"/>
  <c r="AO333" i="5"/>
  <c r="AN217" i="5"/>
  <c r="AO217" i="5"/>
  <c r="AN541" i="5"/>
  <c r="AO541" i="5"/>
  <c r="AN309" i="5"/>
  <c r="AO309" i="5"/>
  <c r="AO102" i="5"/>
  <c r="AN102" i="5"/>
  <c r="AN215" i="5"/>
  <c r="AO215" i="5"/>
  <c r="AO67" i="5"/>
  <c r="AN67" i="5"/>
  <c r="AM103" i="4"/>
  <c r="AN103" i="4" s="1"/>
  <c r="W103" i="4"/>
  <c r="V416" i="5"/>
  <c r="U416" i="5"/>
  <c r="AN153" i="5"/>
  <c r="AO153" i="5"/>
  <c r="V32" i="5"/>
  <c r="U32" i="5"/>
  <c r="U360" i="5"/>
  <c r="V360" i="5"/>
  <c r="AO387" i="5"/>
  <c r="AN387" i="5"/>
  <c r="U392" i="5"/>
  <c r="V392" i="5"/>
  <c r="V373" i="5"/>
  <c r="U373" i="5"/>
  <c r="U469" i="5"/>
  <c r="V469" i="5"/>
  <c r="V558" i="5"/>
  <c r="U558" i="5"/>
  <c r="U394" i="5"/>
  <c r="V394" i="5"/>
  <c r="V535" i="5"/>
  <c r="U535" i="5"/>
  <c r="U521" i="5"/>
  <c r="V521" i="5"/>
  <c r="U486" i="5"/>
  <c r="V486" i="5"/>
  <c r="U500" i="5"/>
  <c r="V500" i="5"/>
  <c r="U530" i="5"/>
  <c r="V530" i="5"/>
  <c r="V511" i="5"/>
  <c r="U511" i="5"/>
  <c r="V402" i="5"/>
  <c r="U402" i="5"/>
  <c r="U286" i="5"/>
  <c r="V286" i="5"/>
  <c r="U270" i="5"/>
  <c r="V270" i="5"/>
  <c r="U138" i="5"/>
  <c r="V138" i="5"/>
  <c r="V528" i="5"/>
  <c r="U528" i="5"/>
  <c r="U413" i="5"/>
  <c r="V413" i="5"/>
  <c r="U363" i="5"/>
  <c r="V363" i="5"/>
  <c r="V283" i="5"/>
  <c r="U283" i="5"/>
  <c r="V301" i="5"/>
  <c r="U301" i="5"/>
  <c r="V173" i="5"/>
  <c r="U173" i="5"/>
  <c r="U449" i="5"/>
  <c r="V449" i="5"/>
  <c r="U401" i="5"/>
  <c r="V401" i="5"/>
  <c r="V287" i="5"/>
  <c r="U287" i="5"/>
  <c r="V342" i="5"/>
  <c r="U342" i="5"/>
  <c r="U295" i="5"/>
  <c r="V295" i="5"/>
  <c r="V171" i="5"/>
  <c r="U171" i="5"/>
  <c r="V406" i="5"/>
  <c r="U406" i="5"/>
  <c r="U522" i="5"/>
  <c r="V522" i="5"/>
  <c r="U388" i="5"/>
  <c r="V388" i="5"/>
  <c r="U267" i="5"/>
  <c r="V267" i="5"/>
  <c r="V289" i="5"/>
  <c r="U289" i="5"/>
  <c r="V149" i="5"/>
  <c r="U149" i="5"/>
  <c r="U533" i="5"/>
  <c r="V533" i="5"/>
  <c r="V389" i="5"/>
  <c r="U389" i="5"/>
  <c r="U302" i="5"/>
  <c r="V302" i="5"/>
  <c r="U223" i="5"/>
  <c r="V223" i="5"/>
  <c r="U76" i="5"/>
  <c r="V76" i="5"/>
  <c r="V489" i="5"/>
  <c r="U489" i="5"/>
  <c r="U532" i="5"/>
  <c r="V532" i="5"/>
  <c r="V386" i="5"/>
  <c r="U386" i="5"/>
  <c r="V331" i="5"/>
  <c r="U331" i="5"/>
  <c r="U166" i="5"/>
  <c r="V166" i="5"/>
  <c r="U107" i="5"/>
  <c r="V107" i="5"/>
  <c r="V374" i="5"/>
  <c r="U374" i="5"/>
  <c r="U162" i="5"/>
  <c r="V162" i="5"/>
  <c r="U259" i="5"/>
  <c r="V259" i="5"/>
  <c r="V159" i="5"/>
  <c r="U159" i="5"/>
  <c r="V35" i="5"/>
  <c r="U35" i="5"/>
  <c r="U117" i="5"/>
  <c r="V117" i="5"/>
  <c r="U25" i="5"/>
  <c r="V25" i="5"/>
  <c r="U55" i="5"/>
  <c r="V55" i="5"/>
  <c r="AN379" i="5"/>
  <c r="AO379" i="5"/>
  <c r="V408" i="5"/>
  <c r="U408" i="5"/>
  <c r="AM54" i="4"/>
  <c r="AN54" i="4" s="1"/>
  <c r="W54" i="4"/>
  <c r="X54" i="4" s="1"/>
  <c r="AJ54" i="4" s="1"/>
  <c r="AO193" i="5"/>
  <c r="AN193" i="5"/>
  <c r="B102" i="2"/>
  <c r="B103" i="2" s="1"/>
  <c r="B73" i="2"/>
  <c r="B157" i="2"/>
  <c r="B92" i="2"/>
  <c r="B142" i="2"/>
  <c r="AE98" i="4"/>
  <c r="AH130" i="4"/>
  <c r="AH131" i="4"/>
  <c r="AH118" i="4"/>
  <c r="AH108" i="4"/>
  <c r="AH19" i="4"/>
  <c r="AH26" i="4"/>
  <c r="AH41" i="4"/>
  <c r="AH13" i="4"/>
  <c r="AH62" i="4"/>
  <c r="AH82" i="4"/>
  <c r="AH32" i="4"/>
  <c r="AH124" i="4"/>
  <c r="AH58" i="4"/>
  <c r="AH146" i="4"/>
  <c r="AH156" i="4"/>
  <c r="AH33" i="4"/>
  <c r="AH150" i="4"/>
  <c r="AH72" i="4"/>
  <c r="AH147" i="4"/>
  <c r="AH136" i="4"/>
  <c r="AH78" i="4"/>
  <c r="AH121" i="4"/>
  <c r="AH151" i="4"/>
  <c r="AH64" i="4"/>
  <c r="AH137" i="4"/>
  <c r="AH54" i="4"/>
  <c r="AH135" i="4"/>
  <c r="AH152" i="4"/>
  <c r="AH98" i="4"/>
  <c r="AH112" i="4"/>
  <c r="AH56" i="4"/>
  <c r="AH88" i="4"/>
  <c r="AH47" i="4"/>
  <c r="AH143" i="4"/>
  <c r="AH126" i="4"/>
  <c r="AH51" i="4"/>
  <c r="AH119" i="4"/>
  <c r="AH50" i="4"/>
  <c r="AH60" i="4"/>
  <c r="AH120" i="4"/>
  <c r="AH40" i="4"/>
  <c r="AR552" i="5"/>
  <c r="AQ539" i="5"/>
  <c r="AR539" i="5"/>
  <c r="AQ69" i="5"/>
  <c r="AR69" i="5"/>
  <c r="AQ222" i="5"/>
  <c r="AR222" i="5"/>
  <c r="AR133" i="5"/>
  <c r="AQ133" i="5"/>
  <c r="AR26" i="5"/>
  <c r="AQ26" i="5"/>
  <c r="AQ556" i="5"/>
  <c r="AR556" i="5"/>
  <c r="AR356" i="5"/>
  <c r="AQ356" i="5"/>
  <c r="AR227" i="5"/>
  <c r="AQ227" i="5"/>
  <c r="AR307" i="5"/>
  <c r="AQ307" i="5"/>
  <c r="AQ324" i="5"/>
  <c r="AR178" i="5"/>
  <c r="AQ169" i="5"/>
  <c r="AR169" i="5"/>
  <c r="AQ314" i="5"/>
  <c r="AR314" i="5"/>
  <c r="AQ528" i="5"/>
  <c r="AR43" i="5"/>
  <c r="AQ43" i="5"/>
  <c r="AQ147" i="5"/>
  <c r="AQ146" i="5"/>
  <c r="AQ451" i="5"/>
  <c r="AR451" i="5"/>
  <c r="AQ157" i="5"/>
  <c r="AR157" i="5"/>
  <c r="AQ304" i="5"/>
  <c r="AR304" i="5"/>
  <c r="AQ521" i="5"/>
  <c r="AR521" i="5"/>
  <c r="AR135" i="5"/>
  <c r="AQ135" i="5"/>
  <c r="AQ450" i="5"/>
  <c r="AR450" i="5"/>
  <c r="AQ394" i="5"/>
  <c r="AR394" i="5"/>
  <c r="AQ270" i="5"/>
  <c r="AR270" i="5"/>
  <c r="AQ382" i="5"/>
  <c r="AR382" i="5"/>
  <c r="AQ148" i="5"/>
  <c r="AR148" i="5"/>
  <c r="AQ202" i="5"/>
  <c r="AR202" i="5"/>
  <c r="AR540" i="5"/>
  <c r="AQ540" i="5"/>
  <c r="AR560" i="5"/>
  <c r="AQ510" i="5"/>
  <c r="AR510" i="5"/>
  <c r="AQ398" i="5"/>
  <c r="AR398" i="5"/>
  <c r="AK55" i="5"/>
  <c r="AL55" i="5"/>
  <c r="AM51" i="4"/>
  <c r="AN51" i="4" s="1"/>
  <c r="W51" i="4"/>
  <c r="Y51" i="4" s="1"/>
  <c r="Z51" i="4" s="1"/>
  <c r="AL99" i="5"/>
  <c r="AK99" i="5"/>
  <c r="V7" i="5"/>
  <c r="U7" i="5"/>
  <c r="AM28" i="4"/>
  <c r="AN28" i="4" s="1"/>
  <c r="W28" i="4"/>
  <c r="Y28" i="4" s="1"/>
  <c r="Z28" i="4" s="1"/>
  <c r="AK240" i="5"/>
  <c r="AL240" i="5"/>
  <c r="AQ313" i="5"/>
  <c r="AR192" i="5"/>
  <c r="AQ192" i="5"/>
  <c r="AK455" i="5"/>
  <c r="AL455" i="5"/>
  <c r="AQ65" i="5"/>
  <c r="AR65" i="5"/>
  <c r="AK411" i="5"/>
  <c r="AL411" i="5"/>
  <c r="AP411" i="5"/>
  <c r="AK464" i="5"/>
  <c r="AL464" i="5"/>
  <c r="AL71" i="5"/>
  <c r="AK71" i="5"/>
  <c r="AP71" i="5"/>
  <c r="AP167" i="5"/>
  <c r="AK167" i="5"/>
  <c r="AL167" i="5"/>
  <c r="AK435" i="5"/>
  <c r="AL435" i="5"/>
  <c r="AP435" i="5"/>
  <c r="AL233" i="5"/>
  <c r="AK233" i="5"/>
  <c r="AK276" i="5"/>
  <c r="AL276" i="5"/>
  <c r="AL386" i="5"/>
  <c r="AK386" i="5"/>
  <c r="AK375" i="5"/>
  <c r="AL375" i="5"/>
  <c r="AP375" i="5"/>
  <c r="AK285" i="5"/>
  <c r="AL285" i="5"/>
  <c r="AL362" i="5"/>
  <c r="AP362" i="5"/>
  <c r="AK362" i="5"/>
  <c r="AK229" i="5"/>
  <c r="AL229" i="5"/>
  <c r="AK49" i="5"/>
  <c r="AP49" i="5"/>
  <c r="AL49" i="5"/>
  <c r="AP518" i="5"/>
  <c r="AL518" i="5"/>
  <c r="AK518" i="5"/>
  <c r="AK363" i="5"/>
  <c r="AL363" i="5"/>
  <c r="AK185" i="5"/>
  <c r="AP185" i="5"/>
  <c r="AL185" i="5"/>
  <c r="AK471" i="5"/>
  <c r="AL471" i="5"/>
  <c r="AP471" i="5"/>
  <c r="AL470" i="5"/>
  <c r="AK470" i="5"/>
  <c r="AK255" i="5"/>
  <c r="AL255" i="5"/>
  <c r="AL92" i="5"/>
  <c r="AK92" i="5"/>
  <c r="AK472" i="5"/>
  <c r="AL472" i="5"/>
  <c r="AP472" i="5"/>
  <c r="AK348" i="5"/>
  <c r="AL348" i="5"/>
  <c r="AL238" i="5"/>
  <c r="AK238" i="5"/>
  <c r="AK29" i="5"/>
  <c r="AL29" i="5"/>
  <c r="AK443" i="5"/>
  <c r="AL443" i="5"/>
  <c r="AP443" i="5"/>
  <c r="AP292" i="5"/>
  <c r="AL292" i="5"/>
  <c r="AK292" i="5"/>
  <c r="AK80" i="5"/>
  <c r="AP80" i="5"/>
  <c r="AL80" i="5"/>
  <c r="AK532" i="5"/>
  <c r="AP532" i="5"/>
  <c r="AL532" i="5"/>
  <c r="AL387" i="5"/>
  <c r="AK387" i="5"/>
  <c r="AK243" i="5"/>
  <c r="AL243" i="5"/>
  <c r="AP243" i="5"/>
  <c r="AK75" i="5"/>
  <c r="AL75" i="5"/>
  <c r="AP75" i="5"/>
  <c r="AK62" i="5"/>
  <c r="AP62" i="5"/>
  <c r="AL62" i="5"/>
  <c r="AL526" i="5"/>
  <c r="AK526" i="5"/>
  <c r="AP526" i="5"/>
  <c r="AK388" i="5"/>
  <c r="AL388" i="5"/>
  <c r="AP388" i="5"/>
  <c r="AK237" i="5"/>
  <c r="AL237" i="5"/>
  <c r="AL28" i="5"/>
  <c r="AK28" i="5"/>
  <c r="AP28" i="5"/>
  <c r="AK523" i="5"/>
  <c r="AL523" i="5"/>
  <c r="AK316" i="5"/>
  <c r="AL316" i="5"/>
  <c r="AK236" i="5"/>
  <c r="AL236" i="5"/>
  <c r="AP236" i="5"/>
  <c r="AL125" i="5"/>
  <c r="AK125" i="5"/>
  <c r="AP125" i="5"/>
  <c r="AK452" i="5"/>
  <c r="AL452" i="5"/>
  <c r="AK428" i="5"/>
  <c r="AL428" i="5"/>
  <c r="AL252" i="5"/>
  <c r="AK252" i="5"/>
  <c r="AK156" i="5"/>
  <c r="AP156" i="5"/>
  <c r="AL156" i="5"/>
  <c r="AL46" i="5"/>
  <c r="AK46" i="5"/>
  <c r="AP46" i="5"/>
  <c r="AL508" i="5"/>
  <c r="AK508" i="5"/>
  <c r="AP508" i="5"/>
  <c r="AL412" i="5"/>
  <c r="AK412" i="5"/>
  <c r="AK177" i="5"/>
  <c r="AL177" i="5"/>
  <c r="AP177" i="5"/>
  <c r="AK110" i="5"/>
  <c r="AL110" i="5"/>
  <c r="AL42" i="5"/>
  <c r="AK42" i="5"/>
  <c r="AL502" i="5"/>
  <c r="AK502" i="5"/>
  <c r="AP502" i="5"/>
  <c r="AK346" i="5"/>
  <c r="AL346" i="5"/>
  <c r="AK189" i="5"/>
  <c r="AL189" i="5"/>
  <c r="AK68" i="5"/>
  <c r="AL68" i="5"/>
  <c r="AP68" i="5"/>
  <c r="AL251" i="5"/>
  <c r="AK251" i="5"/>
  <c r="AP251" i="5"/>
  <c r="AK102" i="5"/>
  <c r="AL102" i="5"/>
  <c r="AP102" i="5"/>
  <c r="AK26" i="5"/>
  <c r="AL26" i="5"/>
  <c r="AK479" i="5"/>
  <c r="AL479" i="5"/>
  <c r="AP479" i="5"/>
  <c r="AM53" i="4"/>
  <c r="AN53" i="4" s="1"/>
  <c r="W53" i="4"/>
  <c r="Y53" i="4" s="1"/>
  <c r="Z53" i="4" s="1"/>
  <c r="AF53" i="4" s="1"/>
  <c r="AM120" i="4"/>
  <c r="AN120" i="4" s="1"/>
  <c r="AL369" i="5"/>
  <c r="AK369" i="5"/>
  <c r="AP369" i="5"/>
  <c r="AK376" i="5"/>
  <c r="AP376" i="5"/>
  <c r="AL376" i="5"/>
  <c r="AL95" i="5"/>
  <c r="AK95" i="5"/>
  <c r="AP95" i="5"/>
  <c r="AK351" i="5"/>
  <c r="AL351" i="5"/>
  <c r="Y12" i="5"/>
  <c r="X12" i="5"/>
  <c r="AK152" i="5"/>
  <c r="AP152" i="5"/>
  <c r="AL152" i="5"/>
  <c r="AR237" i="5"/>
  <c r="AN7" i="5"/>
  <c r="AO7" i="5"/>
  <c r="AM90" i="4"/>
  <c r="AN90" i="4" s="1"/>
  <c r="W90" i="4"/>
  <c r="Y90" i="4" s="1"/>
  <c r="AM114" i="4"/>
  <c r="AN114" i="4" s="1"/>
  <c r="W114" i="4"/>
  <c r="Y114" i="4" s="1"/>
  <c r="Z114" i="4" s="1"/>
  <c r="AQ92" i="5"/>
  <c r="AK416" i="5"/>
  <c r="AL416" i="5"/>
  <c r="AP416" i="5"/>
  <c r="AI7" i="5"/>
  <c r="AH7" i="5"/>
  <c r="AP7" i="5"/>
  <c r="AP431" i="5"/>
  <c r="AL431" i="5"/>
  <c r="AK431" i="5"/>
  <c r="AL353" i="5"/>
  <c r="AK353" i="5"/>
  <c r="AP353" i="5"/>
  <c r="AK113" i="5"/>
  <c r="AL113" i="5"/>
  <c r="AK534" i="5"/>
  <c r="AL534" i="5"/>
  <c r="AP534" i="5"/>
  <c r="AL31" i="5"/>
  <c r="AK31" i="5"/>
  <c r="AH99" i="4"/>
  <c r="Z98" i="4"/>
  <c r="AF98" i="4" s="1"/>
  <c r="AL81" i="5"/>
  <c r="AK81" i="5"/>
  <c r="AK160" i="5"/>
  <c r="AL160" i="5"/>
  <c r="AK135" i="5"/>
  <c r="AL135" i="5"/>
  <c r="AP452" i="5"/>
  <c r="AK531" i="5"/>
  <c r="AL531" i="5"/>
  <c r="AP208" i="5"/>
  <c r="AK208" i="5"/>
  <c r="AL208" i="5"/>
  <c r="AK389" i="5"/>
  <c r="AL389" i="5"/>
  <c r="AK501" i="5"/>
  <c r="AP501" i="5"/>
  <c r="AL501" i="5"/>
  <c r="AL374" i="5"/>
  <c r="AK374" i="5"/>
  <c r="AP374" i="5"/>
  <c r="AL215" i="5"/>
  <c r="AK215" i="5"/>
  <c r="AP215" i="5"/>
  <c r="AL24" i="5"/>
  <c r="AK24" i="5"/>
  <c r="AK466" i="5"/>
  <c r="AL466" i="5"/>
  <c r="AL325" i="5"/>
  <c r="AP325" i="5"/>
  <c r="AK325" i="5"/>
  <c r="AK123" i="5"/>
  <c r="AL123" i="5"/>
  <c r="AP123" i="5"/>
  <c r="AP468" i="5"/>
  <c r="AK468" i="5"/>
  <c r="AL468" i="5"/>
  <c r="AK407" i="5"/>
  <c r="AL407" i="5"/>
  <c r="AP407" i="5"/>
  <c r="AK284" i="5"/>
  <c r="AL284" i="5"/>
  <c r="AK73" i="5"/>
  <c r="AL73" i="5"/>
  <c r="AP73" i="5"/>
  <c r="AL414" i="5"/>
  <c r="AK414" i="5"/>
  <c r="AP414" i="5"/>
  <c r="AL408" i="5"/>
  <c r="AK408" i="5"/>
  <c r="AP408" i="5"/>
  <c r="AK196" i="5"/>
  <c r="AL196" i="5"/>
  <c r="AP196" i="5"/>
  <c r="AK557" i="5"/>
  <c r="AL557" i="5"/>
  <c r="AK505" i="5"/>
  <c r="AL505" i="5"/>
  <c r="AP505" i="5"/>
  <c r="AL315" i="5"/>
  <c r="AK315" i="5"/>
  <c r="AP315" i="5"/>
  <c r="AL128" i="5"/>
  <c r="AK128" i="5"/>
  <c r="AK538" i="5"/>
  <c r="AL538" i="5"/>
  <c r="AP538" i="5"/>
  <c r="AL406" i="5"/>
  <c r="AK406" i="5"/>
  <c r="AK181" i="5"/>
  <c r="AL181" i="5"/>
  <c r="AL63" i="5"/>
  <c r="AK63" i="5"/>
  <c r="AP63" i="5"/>
  <c r="AK39" i="5"/>
  <c r="AL39" i="5"/>
  <c r="AP39" i="5"/>
  <c r="AK437" i="5"/>
  <c r="AL437" i="5"/>
  <c r="AK434" i="5"/>
  <c r="AL434" i="5"/>
  <c r="AK204" i="5"/>
  <c r="AL204" i="5"/>
  <c r="AP204" i="5"/>
  <c r="AK514" i="5"/>
  <c r="AL514" i="5"/>
  <c r="AP514" i="5"/>
  <c r="AK492" i="5"/>
  <c r="AL492" i="5"/>
  <c r="AL286" i="5"/>
  <c r="AK286" i="5"/>
  <c r="AL172" i="5"/>
  <c r="AK172" i="5"/>
  <c r="AP172" i="5"/>
  <c r="AK85" i="5"/>
  <c r="AL85" i="5"/>
  <c r="AP85" i="5"/>
  <c r="AK552" i="5"/>
  <c r="AL552" i="5"/>
  <c r="AL381" i="5"/>
  <c r="AK381" i="5"/>
  <c r="AL322" i="5"/>
  <c r="AP322" i="5"/>
  <c r="AK322" i="5"/>
  <c r="AK164" i="5"/>
  <c r="AL164" i="5"/>
  <c r="AK497" i="5"/>
  <c r="AL497" i="5"/>
  <c r="AL418" i="5"/>
  <c r="AK418" i="5"/>
  <c r="AL356" i="5"/>
  <c r="AK356" i="5"/>
  <c r="AK305" i="5"/>
  <c r="AL305" i="5"/>
  <c r="AK149" i="5"/>
  <c r="AL149" i="5"/>
  <c r="AP44" i="5"/>
  <c r="AK44" i="5"/>
  <c r="AL44" i="5"/>
  <c r="AL506" i="5"/>
  <c r="AK506" i="5"/>
  <c r="AK333" i="5"/>
  <c r="AL333" i="5"/>
  <c r="AL234" i="5"/>
  <c r="AK234" i="5"/>
  <c r="AL38" i="5"/>
  <c r="AK38" i="5"/>
  <c r="AL329" i="5"/>
  <c r="AK329" i="5"/>
  <c r="AP329" i="5"/>
  <c r="AL141" i="5"/>
  <c r="AK141" i="5"/>
  <c r="AK256" i="5"/>
  <c r="AL256" i="5"/>
  <c r="AK447" i="5"/>
  <c r="AL447" i="5"/>
  <c r="AL112" i="5"/>
  <c r="AK112" i="5"/>
  <c r="W92" i="4"/>
  <c r="Y92" i="4" s="1"/>
  <c r="Z92" i="4" s="1"/>
  <c r="AP12" i="5"/>
  <c r="AI12" i="5"/>
  <c r="AH12" i="5"/>
  <c r="AP164" i="5"/>
  <c r="AP305" i="5"/>
  <c r="AK459" i="5"/>
  <c r="AL459" i="5"/>
  <c r="AP459" i="5"/>
  <c r="AK88" i="5"/>
  <c r="AL88" i="5"/>
  <c r="AP88" i="5"/>
  <c r="AR434" i="5"/>
  <c r="AL541" i="5"/>
  <c r="AK541" i="5"/>
  <c r="AP541" i="5"/>
  <c r="AR129" i="5"/>
  <c r="AQ129" i="5"/>
  <c r="AM50" i="4"/>
  <c r="AN50" i="4" s="1"/>
  <c r="W50" i="4"/>
  <c r="Y50" i="4" s="1"/>
  <c r="Z50" i="4" s="1"/>
  <c r="AL56" i="5"/>
  <c r="AK56" i="5"/>
  <c r="AL144" i="5"/>
  <c r="AK144" i="5"/>
  <c r="AK368" i="5"/>
  <c r="AL368" i="5"/>
  <c r="AK7" i="5"/>
  <c r="AL7" i="5"/>
  <c r="AQ51" i="5"/>
  <c r="AR51" i="5"/>
  <c r="AM122" i="4"/>
  <c r="AN122" i="4" s="1"/>
  <c r="W122" i="4"/>
  <c r="Y122" i="4" s="1"/>
  <c r="Z122" i="4" s="1"/>
  <c r="AK525" i="5"/>
  <c r="AL525" i="5"/>
  <c r="W48" i="4"/>
  <c r="Y48" i="4" s="1"/>
  <c r="AK489" i="5"/>
  <c r="AL489" i="5"/>
  <c r="AP489" i="5"/>
  <c r="AM89" i="4"/>
  <c r="AN89" i="4" s="1"/>
  <c r="W89" i="4"/>
  <c r="Y89" i="4" s="1"/>
  <c r="Z89" i="4" s="1"/>
  <c r="AF89" i="4" s="1"/>
  <c r="AM78" i="4"/>
  <c r="AN78" i="4" s="1"/>
  <c r="W78" i="4"/>
  <c r="Y78" i="4" s="1"/>
  <c r="Z78" i="4" s="1"/>
  <c r="AF78" i="4" s="1"/>
  <c r="AK89" i="5"/>
  <c r="AL89" i="5"/>
  <c r="AP399" i="5"/>
  <c r="AK399" i="5"/>
  <c r="AL399" i="5"/>
  <c r="AM119" i="4"/>
  <c r="AN119" i="4" s="1"/>
  <c r="W119" i="4"/>
  <c r="Y119" i="4" s="1"/>
  <c r="Z119" i="4" s="1"/>
  <c r="AK449" i="5"/>
  <c r="AL449" i="5"/>
  <c r="AK359" i="5"/>
  <c r="AL359" i="5"/>
  <c r="W36" i="4"/>
  <c r="Y36" i="4" s="1"/>
  <c r="Z36" i="4" s="1"/>
  <c r="AF36" i="4" s="1"/>
  <c r="AP412" i="5"/>
  <c r="AK495" i="5"/>
  <c r="AL495" i="5"/>
  <c r="AK536" i="5"/>
  <c r="AL536" i="5"/>
  <c r="AL493" i="5"/>
  <c r="AK493" i="5"/>
  <c r="AL433" i="5"/>
  <c r="AP433" i="5"/>
  <c r="AK433" i="5"/>
  <c r="AL427" i="5"/>
  <c r="AP427" i="5"/>
  <c r="AK427" i="5"/>
  <c r="AK162" i="5"/>
  <c r="AL162" i="5"/>
  <c r="AL543" i="5"/>
  <c r="AK543" i="5"/>
  <c r="AP543" i="5"/>
  <c r="AP288" i="5"/>
  <c r="AL288" i="5"/>
  <c r="AK288" i="5"/>
  <c r="AK245" i="5"/>
  <c r="AL245" i="5"/>
  <c r="AK87" i="5"/>
  <c r="AL87" i="5"/>
  <c r="AL261" i="5"/>
  <c r="AK261" i="5"/>
  <c r="AK323" i="5"/>
  <c r="AL323" i="5"/>
  <c r="AP323" i="5"/>
  <c r="AL209" i="5"/>
  <c r="AK209" i="5"/>
  <c r="AP209" i="5"/>
  <c r="AK66" i="5"/>
  <c r="AL66" i="5"/>
  <c r="AK503" i="5"/>
  <c r="AL503" i="5"/>
  <c r="AP503" i="5"/>
  <c r="AL344" i="5"/>
  <c r="AP344" i="5"/>
  <c r="AK344" i="5"/>
  <c r="AL168" i="5"/>
  <c r="AK168" i="5"/>
  <c r="AP168" i="5"/>
  <c r="AL554" i="5"/>
  <c r="AK554" i="5"/>
  <c r="AP554" i="5"/>
  <c r="AK444" i="5"/>
  <c r="AL444" i="5"/>
  <c r="AK248" i="5"/>
  <c r="AL248" i="5"/>
  <c r="AP248" i="5"/>
  <c r="AL104" i="5"/>
  <c r="AK104" i="5"/>
  <c r="AK458" i="5"/>
  <c r="AL458" i="5"/>
  <c r="AL336" i="5"/>
  <c r="AK336" i="5"/>
  <c r="AP336" i="5"/>
  <c r="AK219" i="5"/>
  <c r="AL219" i="5"/>
  <c r="AL25" i="5"/>
  <c r="AK25" i="5"/>
  <c r="AK23" i="5"/>
  <c r="AL23" i="5"/>
  <c r="AL266" i="5"/>
  <c r="AK266" i="5"/>
  <c r="AP266" i="5"/>
  <c r="AK377" i="5"/>
  <c r="AL377" i="5"/>
  <c r="AP377" i="5"/>
  <c r="AP179" i="5"/>
  <c r="AK179" i="5"/>
  <c r="AL179" i="5"/>
  <c r="AL462" i="5"/>
  <c r="AK462" i="5"/>
  <c r="AK429" i="5"/>
  <c r="AL429" i="5"/>
  <c r="AP429" i="5"/>
  <c r="AL258" i="5"/>
  <c r="AK258" i="5"/>
  <c r="AK228" i="5"/>
  <c r="AL228" i="5"/>
  <c r="AP228" i="5"/>
  <c r="AL60" i="5"/>
  <c r="AK60" i="5"/>
  <c r="AP60" i="5"/>
  <c r="AK485" i="5"/>
  <c r="AL485" i="5"/>
  <c r="AK300" i="5"/>
  <c r="AL300" i="5"/>
  <c r="AK310" i="5"/>
  <c r="AL310" i="5"/>
  <c r="AP310" i="5"/>
  <c r="AL114" i="5"/>
  <c r="AP114" i="5"/>
  <c r="AK114" i="5"/>
  <c r="AK535" i="5"/>
  <c r="AL535" i="5"/>
  <c r="AK482" i="5"/>
  <c r="AL482" i="5"/>
  <c r="AP482" i="5"/>
  <c r="AL340" i="5"/>
  <c r="AK340" i="5"/>
  <c r="AP269" i="5"/>
  <c r="AK269" i="5"/>
  <c r="AL269" i="5"/>
  <c r="AL118" i="5"/>
  <c r="AK118" i="5"/>
  <c r="AK486" i="5"/>
  <c r="AL486" i="5"/>
  <c r="AL446" i="5"/>
  <c r="AK446" i="5"/>
  <c r="AP446" i="5"/>
  <c r="AK221" i="5"/>
  <c r="AL221" i="5"/>
  <c r="AP242" i="5"/>
  <c r="AK242" i="5"/>
  <c r="AL242" i="5"/>
  <c r="AL370" i="5"/>
  <c r="AK370" i="5"/>
  <c r="AL294" i="5"/>
  <c r="AK294" i="5"/>
  <c r="AK70" i="5"/>
  <c r="AL70" i="5"/>
  <c r="AK199" i="5"/>
  <c r="AL199" i="5"/>
  <c r="AP351" i="5"/>
  <c r="AM13" i="4"/>
  <c r="AN13" i="4" s="1"/>
  <c r="W13" i="4"/>
  <c r="Y13" i="4" s="1"/>
  <c r="Z13" i="4" s="1"/>
  <c r="AP286" i="5"/>
  <c r="AP523" i="5"/>
  <c r="AK155" i="5"/>
  <c r="AL155" i="5"/>
  <c r="AP155" i="5"/>
  <c r="B80" i="2"/>
  <c r="B143" i="2"/>
  <c r="B75" i="2"/>
  <c r="B108" i="2"/>
  <c r="B109" i="2" s="1"/>
  <c r="B98" i="2"/>
  <c r="AP55" i="5"/>
  <c r="W82" i="4"/>
  <c r="Y82" i="4" s="1"/>
  <c r="Z82" i="4" s="1"/>
  <c r="AF82" i="4" s="1"/>
  <c r="AK12" i="5"/>
  <c r="AL12" i="5"/>
  <c r="AP221" i="5"/>
  <c r="AK224" i="5"/>
  <c r="AL224" i="5"/>
  <c r="AP224" i="5"/>
  <c r="AQ176" i="5"/>
  <c r="AR176" i="5"/>
  <c r="AK223" i="5"/>
  <c r="AL223" i="5"/>
  <c r="AL35" i="5"/>
  <c r="AK35" i="5"/>
  <c r="AP35" i="5"/>
  <c r="AK97" i="5"/>
  <c r="AL97" i="5"/>
  <c r="AK367" i="5"/>
  <c r="AL367" i="5"/>
  <c r="AP367" i="5"/>
  <c r="AM149" i="4"/>
  <c r="AN149" i="4" s="1"/>
  <c r="W149" i="4"/>
  <c r="Y149" i="4" s="1"/>
  <c r="AR418" i="5"/>
  <c r="AL107" i="5"/>
  <c r="AK107" i="5"/>
  <c r="AP107" i="5"/>
  <c r="AL328" i="5"/>
  <c r="AK328" i="5"/>
  <c r="AK183" i="5"/>
  <c r="AP183" i="5"/>
  <c r="AL183" i="5"/>
  <c r="AK439" i="5"/>
  <c r="AL439" i="5"/>
  <c r="AL32" i="5"/>
  <c r="AK32" i="5"/>
  <c r="AP32" i="5"/>
  <c r="AL303" i="5"/>
  <c r="AP303" i="5"/>
  <c r="AK303" i="5"/>
  <c r="AK335" i="5"/>
  <c r="AL335" i="5"/>
  <c r="AL96" i="5"/>
  <c r="AK96" i="5"/>
  <c r="AL47" i="5"/>
  <c r="AK47" i="5"/>
  <c r="AM154" i="4"/>
  <c r="AN154" i="4" s="1"/>
  <c r="W154" i="4"/>
  <c r="Y154" i="4" s="1"/>
  <c r="Z154" i="4" s="1"/>
  <c r="AL265" i="5"/>
  <c r="AK265" i="5"/>
  <c r="AP265" i="5"/>
  <c r="AL121" i="5"/>
  <c r="AK121" i="5"/>
  <c r="AP423" i="5"/>
  <c r="AK423" i="5"/>
  <c r="AL423" i="5"/>
  <c r="W25" i="4"/>
  <c r="Y25" i="4" s="1"/>
  <c r="Z25" i="4" s="1"/>
  <c r="AF25" i="4" s="1"/>
  <c r="AM99" i="4"/>
  <c r="AN99" i="4" s="1"/>
  <c r="W99" i="4"/>
  <c r="Y99" i="4" s="1"/>
  <c r="Z99" i="4" s="1"/>
  <c r="AM112" i="4"/>
  <c r="AN112" i="4" s="1"/>
  <c r="W112" i="4"/>
  <c r="Y112" i="4" s="1"/>
  <c r="Z112" i="4" s="1"/>
  <c r="AF112" i="4" s="1"/>
  <c r="AM65" i="4"/>
  <c r="AN65" i="4" s="1"/>
  <c r="W65" i="4"/>
  <c r="Y65" i="4" s="1"/>
  <c r="Z65" i="4" s="1"/>
  <c r="AL201" i="5"/>
  <c r="AP201" i="5"/>
  <c r="AK201" i="5"/>
  <c r="AL306" i="5"/>
  <c r="AK306" i="5"/>
  <c r="AK400" i="5"/>
  <c r="AL400" i="5"/>
  <c r="AP400" i="5"/>
  <c r="AK212" i="5"/>
  <c r="AL212" i="5"/>
  <c r="AK520" i="5"/>
  <c r="AL520" i="5"/>
  <c r="AK365" i="5"/>
  <c r="AL365" i="5"/>
  <c r="AL178" i="5"/>
  <c r="AK178" i="5"/>
  <c r="AL475" i="5"/>
  <c r="AK475" i="5"/>
  <c r="AP475" i="5"/>
  <c r="AK476" i="5"/>
  <c r="AL476" i="5"/>
  <c r="AK268" i="5"/>
  <c r="AL268" i="5"/>
  <c r="AP268" i="5"/>
  <c r="AK98" i="5"/>
  <c r="AP98" i="5"/>
  <c r="AL98" i="5"/>
  <c r="AK491" i="5"/>
  <c r="AL491" i="5"/>
  <c r="AK364" i="5"/>
  <c r="AL364" i="5"/>
  <c r="AL244" i="5"/>
  <c r="AK244" i="5"/>
  <c r="AL30" i="5"/>
  <c r="AK30" i="5"/>
  <c r="AK450" i="5"/>
  <c r="AL450" i="5"/>
  <c r="AL304" i="5"/>
  <c r="AK304" i="5"/>
  <c r="AK86" i="5"/>
  <c r="AL86" i="5"/>
  <c r="AP86" i="5"/>
  <c r="AL549" i="5"/>
  <c r="AK549" i="5"/>
  <c r="AP549" i="5"/>
  <c r="AK391" i="5"/>
  <c r="AL391" i="5"/>
  <c r="AP391" i="5"/>
  <c r="AL247" i="5"/>
  <c r="AP247" i="5"/>
  <c r="AK247" i="5"/>
  <c r="AL76" i="5"/>
  <c r="AK76" i="5"/>
  <c r="AP76" i="5"/>
  <c r="AL393" i="5"/>
  <c r="AP393" i="5"/>
  <c r="AK393" i="5"/>
  <c r="AL390" i="5"/>
  <c r="AK390" i="5"/>
  <c r="AL182" i="5"/>
  <c r="AK182" i="5"/>
  <c r="AK137" i="5"/>
  <c r="AL137" i="5"/>
  <c r="AP137" i="5"/>
  <c r="AM13" i="5"/>
  <c r="T13" i="5"/>
  <c r="AG13" i="5"/>
  <c r="Q13" i="5"/>
  <c r="AJ13" i="5"/>
  <c r="W13" i="5"/>
  <c r="AK481" i="5"/>
  <c r="AL481" i="5"/>
  <c r="AP481" i="5"/>
  <c r="AK355" i="5"/>
  <c r="AL355" i="5"/>
  <c r="AK140" i="5"/>
  <c r="AL140" i="5"/>
  <c r="AL558" i="5"/>
  <c r="AK558" i="5"/>
  <c r="AK405" i="5"/>
  <c r="AL405" i="5"/>
  <c r="AL324" i="5"/>
  <c r="AK324" i="5"/>
  <c r="AK173" i="5"/>
  <c r="AL173" i="5"/>
  <c r="AK61" i="5"/>
  <c r="AL61" i="5"/>
  <c r="AP61" i="5"/>
  <c r="AK445" i="5"/>
  <c r="AL445" i="5"/>
  <c r="AP445" i="5"/>
  <c r="AL354" i="5"/>
  <c r="AK354" i="5"/>
  <c r="AK198" i="5"/>
  <c r="AL198" i="5"/>
  <c r="AP198" i="5"/>
  <c r="AL157" i="5"/>
  <c r="AK157" i="5"/>
  <c r="AL556" i="5"/>
  <c r="AK556" i="5"/>
  <c r="AL461" i="5"/>
  <c r="AK461" i="5"/>
  <c r="AK308" i="5"/>
  <c r="AP308" i="5"/>
  <c r="AL308" i="5"/>
  <c r="AK193" i="5"/>
  <c r="AP193" i="5"/>
  <c r="AL193" i="5"/>
  <c r="AP100" i="5"/>
  <c r="AK100" i="5"/>
  <c r="AL100" i="5"/>
  <c r="AL548" i="5"/>
  <c r="AK548" i="5"/>
  <c r="AL338" i="5"/>
  <c r="AK338" i="5"/>
  <c r="AL314" i="5"/>
  <c r="AK314" i="5"/>
  <c r="AL180" i="5"/>
  <c r="AK180" i="5"/>
  <c r="AP180" i="5"/>
  <c r="AK345" i="5"/>
  <c r="AL345" i="5"/>
  <c r="AL253" i="5"/>
  <c r="AK253" i="5"/>
  <c r="AP253" i="5"/>
  <c r="AK58" i="5"/>
  <c r="AL58" i="5"/>
  <c r="AP160" i="5"/>
  <c r="AP466" i="5"/>
  <c r="AL395" i="5"/>
  <c r="AP395" i="5"/>
  <c r="AK395" i="5"/>
  <c r="AP363" i="5"/>
  <c r="AK504" i="5"/>
  <c r="AL504" i="5"/>
  <c r="AP504" i="5"/>
  <c r="V12" i="5"/>
  <c r="U12" i="5"/>
  <c r="AK311" i="5"/>
  <c r="AP311" i="5"/>
  <c r="AL311" i="5"/>
  <c r="AM131" i="4"/>
  <c r="AN131" i="4" s="1"/>
  <c r="W131" i="4"/>
  <c r="Y131" i="4" s="1"/>
  <c r="AK111" i="5"/>
  <c r="AL111" i="5"/>
  <c r="AP111" i="5"/>
  <c r="AL40" i="5"/>
  <c r="AK40" i="5"/>
  <c r="AP40" i="5"/>
  <c r="AL280" i="5"/>
  <c r="AK280" i="5"/>
  <c r="AM124" i="4"/>
  <c r="AN124" i="4" s="1"/>
  <c r="W124" i="4"/>
  <c r="Y124" i="4" s="1"/>
  <c r="Z124" i="4" s="1"/>
  <c r="AQ283" i="5"/>
  <c r="AR283" i="5"/>
  <c r="AP328" i="5"/>
  <c r="X7" i="5"/>
  <c r="Y7" i="5"/>
  <c r="AQ348" i="5"/>
  <c r="AR348" i="5"/>
  <c r="AL119" i="5"/>
  <c r="AK119" i="5"/>
  <c r="AM42" i="4"/>
  <c r="AN42" i="4" s="1"/>
  <c r="W42" i="4"/>
  <c r="Y42" i="4" s="1"/>
  <c r="AK79" i="5"/>
  <c r="AL79" i="5"/>
  <c r="AL143" i="5"/>
  <c r="AK143" i="5"/>
  <c r="AK313" i="5"/>
  <c r="AL313" i="5"/>
  <c r="AK72" i="5"/>
  <c r="AL72" i="5"/>
  <c r="AL264" i="5"/>
  <c r="AK264" i="5"/>
  <c r="AK320" i="5"/>
  <c r="AP320" i="5"/>
  <c r="AL320" i="5"/>
  <c r="AL207" i="5"/>
  <c r="AK207" i="5"/>
  <c r="AP207" i="5"/>
  <c r="W87" i="4"/>
  <c r="Y87" i="4" s="1"/>
  <c r="AM87" i="4"/>
  <c r="AN87" i="4" s="1"/>
  <c r="AL473" i="5"/>
  <c r="AK473" i="5"/>
  <c r="W11" i="4"/>
  <c r="Y11" i="4" s="1"/>
  <c r="Z11" i="4" s="1"/>
  <c r="AP464" i="5"/>
  <c r="AL553" i="5"/>
  <c r="AK553" i="5"/>
  <c r="AH144" i="4"/>
  <c r="B105" i="2"/>
  <c r="B106" i="2" s="1"/>
  <c r="B74" i="2"/>
  <c r="B95" i="2"/>
  <c r="AL546" i="5"/>
  <c r="AK546" i="5"/>
  <c r="AP546" i="5"/>
  <c r="AK175" i="5"/>
  <c r="AL175" i="5"/>
  <c r="AK10" i="5"/>
  <c r="AL10" i="5"/>
  <c r="AL469" i="5"/>
  <c r="AP469" i="5"/>
  <c r="AK469" i="5"/>
  <c r="AK334" i="5"/>
  <c r="AP334" i="5"/>
  <c r="AL334" i="5"/>
  <c r="AL129" i="5"/>
  <c r="AK129" i="5"/>
  <c r="AK516" i="5"/>
  <c r="AL516" i="5"/>
  <c r="AK409" i="5"/>
  <c r="AL409" i="5"/>
  <c r="AP409" i="5"/>
  <c r="AK290" i="5"/>
  <c r="AL290" i="5"/>
  <c r="AK91" i="5"/>
  <c r="AL91" i="5"/>
  <c r="AL424" i="5"/>
  <c r="AK424" i="5"/>
  <c r="AP424" i="5"/>
  <c r="AK419" i="5"/>
  <c r="AL419" i="5"/>
  <c r="AK124" i="5"/>
  <c r="AL124" i="5"/>
  <c r="AP124" i="5"/>
  <c r="AK474" i="5"/>
  <c r="AL474" i="5"/>
  <c r="AK511" i="5"/>
  <c r="AL511" i="5"/>
  <c r="AP511" i="5"/>
  <c r="AK332" i="5"/>
  <c r="AL332" i="5"/>
  <c r="AL146" i="5"/>
  <c r="AK146" i="5"/>
  <c r="AL540" i="5"/>
  <c r="AK540" i="5"/>
  <c r="AK415" i="5"/>
  <c r="AL415" i="5"/>
  <c r="AP415" i="5"/>
  <c r="AK192" i="5"/>
  <c r="AL192" i="5"/>
  <c r="AL69" i="5"/>
  <c r="AK69" i="5"/>
  <c r="AL494" i="5"/>
  <c r="AK494" i="5"/>
  <c r="AL296" i="5"/>
  <c r="AK296" i="5"/>
  <c r="AL154" i="5"/>
  <c r="AK154" i="5"/>
  <c r="AK151" i="5"/>
  <c r="AL151" i="5"/>
  <c r="AP151" i="5"/>
  <c r="AP19" i="5"/>
  <c r="AL19" i="5"/>
  <c r="AK19" i="5"/>
  <c r="AK373" i="5"/>
  <c r="AL373" i="5"/>
  <c r="AP373" i="5"/>
  <c r="AL267" i="5"/>
  <c r="AK267" i="5"/>
  <c r="AK134" i="5"/>
  <c r="AL134" i="5"/>
  <c r="AK490" i="5"/>
  <c r="AP490" i="5"/>
  <c r="AL490" i="5"/>
  <c r="AK382" i="5"/>
  <c r="AL382" i="5"/>
  <c r="AL301" i="5"/>
  <c r="AK301" i="5"/>
  <c r="AK166" i="5"/>
  <c r="AL166" i="5"/>
  <c r="AK52" i="5"/>
  <c r="AL52" i="5"/>
  <c r="AP52" i="5"/>
  <c r="AK421" i="5"/>
  <c r="AL421" i="5"/>
  <c r="AK413" i="5"/>
  <c r="AP413" i="5"/>
  <c r="AL413" i="5"/>
  <c r="AL197" i="5"/>
  <c r="AK197" i="5"/>
  <c r="AP197" i="5"/>
  <c r="AL130" i="5"/>
  <c r="AK130" i="5"/>
  <c r="AK547" i="5"/>
  <c r="AP547" i="5"/>
  <c r="AL547" i="5"/>
  <c r="AP385" i="5"/>
  <c r="AK385" i="5"/>
  <c r="AL385" i="5"/>
  <c r="AL277" i="5"/>
  <c r="AK277" i="5"/>
  <c r="AP277" i="5"/>
  <c r="AK222" i="5"/>
  <c r="AL222" i="5"/>
  <c r="AL109" i="5"/>
  <c r="AK109" i="5"/>
  <c r="AL528" i="5"/>
  <c r="AK528" i="5"/>
  <c r="AK396" i="5"/>
  <c r="AL396" i="5"/>
  <c r="AP254" i="5"/>
  <c r="AK254" i="5"/>
  <c r="AL254" i="5"/>
  <c r="AK133" i="5"/>
  <c r="AL133" i="5"/>
  <c r="AL246" i="5"/>
  <c r="AK246" i="5"/>
  <c r="AP246" i="5"/>
  <c r="AK241" i="5"/>
  <c r="AL241" i="5"/>
  <c r="AP241" i="5"/>
  <c r="AK65" i="5"/>
  <c r="AL65" i="5"/>
  <c r="AP128" i="5"/>
  <c r="AK384" i="5"/>
  <c r="AL384" i="5"/>
  <c r="AP553" i="5"/>
  <c r="AP121" i="5"/>
  <c r="AP154" i="5"/>
  <c r="AP149" i="5"/>
  <c r="AL203" i="5"/>
  <c r="AP203" i="5"/>
  <c r="AK203" i="5"/>
  <c r="AL176" i="5"/>
  <c r="AK176" i="5"/>
  <c r="AP256" i="5"/>
  <c r="AK448" i="5"/>
  <c r="AL448" i="5"/>
  <c r="AL263" i="5"/>
  <c r="AK263" i="5"/>
  <c r="AP263" i="5"/>
  <c r="AM75" i="4"/>
  <c r="AN75" i="4" s="1"/>
  <c r="W75" i="4"/>
  <c r="Y75" i="4" s="1"/>
  <c r="AP316" i="5"/>
  <c r="AP285" i="5"/>
  <c r="AP294" i="5"/>
  <c r="AP115" i="5"/>
  <c r="AK115" i="5"/>
  <c r="AL115" i="5"/>
  <c r="AL339" i="5"/>
  <c r="AP339" i="5"/>
  <c r="AK339" i="5"/>
  <c r="AL360" i="5"/>
  <c r="AK360" i="5"/>
  <c r="AK127" i="5"/>
  <c r="AL127" i="5"/>
  <c r="AR225" i="5"/>
  <c r="AQ225" i="5"/>
  <c r="AR141" i="5"/>
  <c r="AK83" i="5"/>
  <c r="AL83" i="5"/>
  <c r="AP83" i="5"/>
  <c r="AK48" i="5"/>
  <c r="AL48" i="5"/>
  <c r="AP240" i="5"/>
  <c r="AK488" i="5"/>
  <c r="AL488" i="5"/>
  <c r="AM147" i="4"/>
  <c r="AN147" i="4" s="1"/>
  <c r="W147" i="4"/>
  <c r="Y147" i="4" s="1"/>
  <c r="Z147" i="4" s="1"/>
  <c r="AM31" i="4"/>
  <c r="AN31" i="4" s="1"/>
  <c r="W31" i="4"/>
  <c r="Y31" i="4" s="1"/>
  <c r="Z31" i="4" s="1"/>
  <c r="AF31" i="4" s="1"/>
  <c r="AP113" i="5"/>
  <c r="AP96" i="5"/>
  <c r="AK216" i="5"/>
  <c r="AL216" i="5"/>
  <c r="AK271" i="5"/>
  <c r="AL271" i="5"/>
  <c r="AP271" i="5"/>
  <c r="AK430" i="5"/>
  <c r="AL430" i="5"/>
  <c r="AP430" i="5"/>
  <c r="AL456" i="5"/>
  <c r="AK456" i="5"/>
  <c r="AP456" i="5"/>
  <c r="AL545" i="5"/>
  <c r="AK545" i="5"/>
  <c r="AL361" i="5"/>
  <c r="AK361" i="5"/>
  <c r="AP361" i="5"/>
  <c r="AK260" i="5"/>
  <c r="AL260" i="5"/>
  <c r="AK122" i="5"/>
  <c r="AL122" i="5"/>
  <c r="AP122" i="5"/>
  <c r="AP279" i="5"/>
  <c r="AL279" i="5"/>
  <c r="AK279" i="5"/>
  <c r="AL343" i="5"/>
  <c r="AK343" i="5"/>
  <c r="AP343" i="5"/>
  <c r="AK220" i="5"/>
  <c r="AL220" i="5"/>
  <c r="AP220" i="5"/>
  <c r="AK27" i="5"/>
  <c r="AL27" i="5"/>
  <c r="AP27" i="5"/>
  <c r="AK513" i="5"/>
  <c r="AL513" i="5"/>
  <c r="AP513" i="5"/>
  <c r="AK350" i="5"/>
  <c r="AL350" i="5"/>
  <c r="AP174" i="5"/>
  <c r="AK174" i="5"/>
  <c r="AL174" i="5"/>
  <c r="AL560" i="5"/>
  <c r="AK560" i="5"/>
  <c r="AK453" i="5"/>
  <c r="AL453" i="5"/>
  <c r="AP453" i="5"/>
  <c r="AK249" i="5"/>
  <c r="AL249" i="5"/>
  <c r="AP249" i="5"/>
  <c r="AK90" i="5"/>
  <c r="AL90" i="5"/>
  <c r="AP90" i="5"/>
  <c r="AL460" i="5"/>
  <c r="AK460" i="5"/>
  <c r="AL341" i="5"/>
  <c r="AK341" i="5"/>
  <c r="AK235" i="5"/>
  <c r="AL235" i="5"/>
  <c r="AP235" i="5"/>
  <c r="AL37" i="5"/>
  <c r="AK37" i="5"/>
  <c r="AL441" i="5"/>
  <c r="AK441" i="5"/>
  <c r="AP441" i="5"/>
  <c r="AK289" i="5"/>
  <c r="AL289" i="5"/>
  <c r="AP289" i="5"/>
  <c r="AK145" i="5"/>
  <c r="AL145" i="5"/>
  <c r="AP145" i="5"/>
  <c r="AL136" i="5"/>
  <c r="AP136" i="5"/>
  <c r="AK136" i="5"/>
  <c r="AK498" i="5"/>
  <c r="AL498" i="5"/>
  <c r="AP480" i="5"/>
  <c r="AL480" i="5"/>
  <c r="AK480" i="5"/>
  <c r="AL287" i="5"/>
  <c r="AK287" i="5"/>
  <c r="AK106" i="5"/>
  <c r="AL106" i="5"/>
  <c r="AP106" i="5"/>
  <c r="AK422" i="5"/>
  <c r="AL422" i="5"/>
  <c r="AL398" i="5"/>
  <c r="AK398" i="5"/>
  <c r="AK230" i="5"/>
  <c r="AL230" i="5"/>
  <c r="AP230" i="5"/>
  <c r="AK150" i="5"/>
  <c r="AL150" i="5"/>
  <c r="AP150" i="5"/>
  <c r="AK21" i="5"/>
  <c r="AL21" i="5"/>
  <c r="AK509" i="5"/>
  <c r="AL509" i="5"/>
  <c r="AP509" i="5"/>
  <c r="AL380" i="5"/>
  <c r="AK380" i="5"/>
  <c r="AK226" i="5"/>
  <c r="AL226" i="5"/>
  <c r="AK84" i="5"/>
  <c r="AL84" i="5"/>
  <c r="AP84" i="5"/>
  <c r="AK527" i="5"/>
  <c r="AL527" i="5"/>
  <c r="AL401" i="5"/>
  <c r="AP401" i="5"/>
  <c r="AK401" i="5"/>
  <c r="AK250" i="5"/>
  <c r="AL250" i="5"/>
  <c r="AK194" i="5"/>
  <c r="AL194" i="5"/>
  <c r="AK78" i="5"/>
  <c r="AL78" i="5"/>
  <c r="AP550" i="5"/>
  <c r="AK550" i="5"/>
  <c r="AL550" i="5"/>
  <c r="AK420" i="5"/>
  <c r="AL420" i="5"/>
  <c r="AK330" i="5"/>
  <c r="AL330" i="5"/>
  <c r="AL116" i="5"/>
  <c r="AK116" i="5"/>
  <c r="AP116" i="5"/>
  <c r="AK297" i="5"/>
  <c r="AL297" i="5"/>
  <c r="AP297" i="5"/>
  <c r="AK214" i="5"/>
  <c r="AL214" i="5"/>
  <c r="AK36" i="5"/>
  <c r="AP36" i="5"/>
  <c r="AL36" i="5"/>
  <c r="AK512" i="5"/>
  <c r="AL512" i="5"/>
  <c r="W60" i="4"/>
  <c r="Y60" i="4" s="1"/>
  <c r="AP473" i="5"/>
  <c r="AP439" i="5"/>
  <c r="S12" i="5"/>
  <c r="R12" i="5"/>
  <c r="AP89" i="5"/>
  <c r="AP449" i="5"/>
  <c r="AP458" i="5"/>
  <c r="AL59" i="5"/>
  <c r="AK59" i="5"/>
  <c r="AP59" i="5"/>
  <c r="AK457" i="5"/>
  <c r="AL457" i="5"/>
  <c r="AL519" i="5"/>
  <c r="AK519" i="5"/>
  <c r="AP519" i="5"/>
  <c r="AK217" i="5"/>
  <c r="AL217" i="5"/>
  <c r="AK200" i="5"/>
  <c r="AL200" i="5"/>
  <c r="AP200" i="5"/>
  <c r="AM104" i="4"/>
  <c r="AN104" i="4" s="1"/>
  <c r="W104" i="4"/>
  <c r="Y104" i="4" s="1"/>
  <c r="Z104" i="4" s="1"/>
  <c r="AR548" i="5"/>
  <c r="AM156" i="4"/>
  <c r="AN156" i="4" s="1"/>
  <c r="W156" i="4"/>
  <c r="Y156" i="4" s="1"/>
  <c r="Z156" i="4" s="1"/>
  <c r="AR281" i="5"/>
  <c r="AQ281" i="5"/>
  <c r="AK432" i="5"/>
  <c r="AL432" i="5"/>
  <c r="AP223" i="5"/>
  <c r="AM29" i="4"/>
  <c r="AN29" i="4" s="1"/>
  <c r="W107" i="4"/>
  <c r="Y107" i="4" s="1"/>
  <c r="Z107" i="4" s="1"/>
  <c r="AM107" i="4"/>
  <c r="AN107" i="4" s="1"/>
  <c r="AL8" i="5"/>
  <c r="AK8" i="5"/>
  <c r="AP280" i="5"/>
  <c r="S7" i="5"/>
  <c r="R7" i="5"/>
  <c r="AH28" i="4"/>
  <c r="W139" i="4"/>
  <c r="Y139" i="4" s="1"/>
  <c r="Z139" i="4" s="1"/>
  <c r="AM139" i="4"/>
  <c r="AN139" i="4" s="1"/>
  <c r="AL312" i="5"/>
  <c r="AK312" i="5"/>
  <c r="AK295" i="5"/>
  <c r="AL295" i="5"/>
  <c r="AP295" i="5"/>
  <c r="AP455" i="5"/>
  <c r="AL211" i="5"/>
  <c r="AK211" i="5"/>
  <c r="AL347" i="5"/>
  <c r="AK347" i="5"/>
  <c r="AP347" i="5"/>
  <c r="AM88" i="4"/>
  <c r="AN88" i="4" s="1"/>
  <c r="W88" i="4"/>
  <c r="Y88" i="4" s="1"/>
  <c r="Z88" i="4" s="1"/>
  <c r="AP8" i="5"/>
  <c r="AK327" i="5"/>
  <c r="AL327" i="5"/>
  <c r="W110" i="4"/>
  <c r="Y110" i="4" s="1"/>
  <c r="Z110" i="4" s="1"/>
  <c r="AM110" i="4"/>
  <c r="AN110" i="4" s="1"/>
  <c r="AM151" i="4"/>
  <c r="AN151" i="4" s="1"/>
  <c r="W151" i="4"/>
  <c r="Y151" i="4" s="1"/>
  <c r="Z151" i="4" s="1"/>
  <c r="AF151" i="4" s="1"/>
  <c r="AP341" i="5"/>
  <c r="AL438" i="5"/>
  <c r="AK438" i="5"/>
  <c r="AK326" i="5"/>
  <c r="AL326" i="5"/>
  <c r="AL318" i="5"/>
  <c r="AK318" i="5"/>
  <c r="AL478" i="5"/>
  <c r="AK478" i="5"/>
  <c r="AP478" i="5"/>
  <c r="AL477" i="5"/>
  <c r="AK477" i="5"/>
  <c r="AK275" i="5"/>
  <c r="AL275" i="5"/>
  <c r="AP275" i="5"/>
  <c r="AK103" i="5"/>
  <c r="AL103" i="5"/>
  <c r="AL496" i="5"/>
  <c r="AK496" i="5"/>
  <c r="AP366" i="5"/>
  <c r="AK366" i="5"/>
  <c r="AL366" i="5"/>
  <c r="AK202" i="5"/>
  <c r="AL202" i="5"/>
  <c r="AK41" i="5"/>
  <c r="AL41" i="5"/>
  <c r="AP41" i="5"/>
  <c r="AK463" i="5"/>
  <c r="AL463" i="5"/>
  <c r="AL319" i="5"/>
  <c r="AK319" i="5"/>
  <c r="AP319" i="5"/>
  <c r="AL108" i="5"/>
  <c r="AK108" i="5"/>
  <c r="AP108" i="5"/>
  <c r="AL559" i="5"/>
  <c r="AK559" i="5"/>
  <c r="AP559" i="5"/>
  <c r="AK397" i="5"/>
  <c r="AL397" i="5"/>
  <c r="AL262" i="5"/>
  <c r="AK262" i="5"/>
  <c r="AK77" i="5"/>
  <c r="AL77" i="5"/>
  <c r="AK402" i="5"/>
  <c r="AL402" i="5"/>
  <c r="AK392" i="5"/>
  <c r="AL392" i="5"/>
  <c r="AK184" i="5"/>
  <c r="AL184" i="5"/>
  <c r="AL555" i="5"/>
  <c r="AP555" i="5"/>
  <c r="AK555" i="5"/>
  <c r="AL500" i="5"/>
  <c r="AP500" i="5"/>
  <c r="AK500" i="5"/>
  <c r="AK309" i="5"/>
  <c r="AP309" i="5"/>
  <c r="AL309" i="5"/>
  <c r="AL126" i="5"/>
  <c r="AK126" i="5"/>
  <c r="AK117" i="5"/>
  <c r="AL117" i="5"/>
  <c r="AK530" i="5"/>
  <c r="AL530" i="5"/>
  <c r="AK352" i="5"/>
  <c r="AL352" i="5"/>
  <c r="AP352" i="5"/>
  <c r="AK321" i="5"/>
  <c r="AL321" i="5"/>
  <c r="AK82" i="5"/>
  <c r="AL82" i="5"/>
  <c r="AL510" i="5"/>
  <c r="AK510" i="5"/>
  <c r="AK358" i="5"/>
  <c r="AL358" i="5"/>
  <c r="AP358" i="5"/>
  <c r="AL317" i="5"/>
  <c r="AK317" i="5"/>
  <c r="AP317" i="5"/>
  <c r="AL132" i="5"/>
  <c r="AP132" i="5"/>
  <c r="AK132" i="5"/>
  <c r="AL20" i="5"/>
  <c r="AK20" i="5"/>
  <c r="AL454" i="5"/>
  <c r="AK454" i="5"/>
  <c r="AK357" i="5"/>
  <c r="AL357" i="5"/>
  <c r="AP357" i="5"/>
  <c r="AL205" i="5"/>
  <c r="AK205" i="5"/>
  <c r="AK54" i="5"/>
  <c r="AL54" i="5"/>
  <c r="AP442" i="5"/>
  <c r="AK442" i="5"/>
  <c r="AL442" i="5"/>
  <c r="AK394" i="5"/>
  <c r="AL394" i="5"/>
  <c r="AL293" i="5"/>
  <c r="AK293" i="5"/>
  <c r="AP293" i="5"/>
  <c r="AK165" i="5"/>
  <c r="AL165" i="5"/>
  <c r="AL74" i="5"/>
  <c r="AP74" i="5"/>
  <c r="AK74" i="5"/>
  <c r="AL542" i="5"/>
  <c r="AK542" i="5"/>
  <c r="AK378" i="5"/>
  <c r="AL378" i="5"/>
  <c r="AL298" i="5"/>
  <c r="AK298" i="5"/>
  <c r="AP298" i="5"/>
  <c r="AK138" i="5"/>
  <c r="AL138" i="5"/>
  <c r="AK270" i="5"/>
  <c r="AL270" i="5"/>
  <c r="AL148" i="5"/>
  <c r="AK148" i="5"/>
  <c r="AK34" i="5"/>
  <c r="AL34" i="5"/>
  <c r="AP91" i="5"/>
  <c r="AK231" i="5"/>
  <c r="AL231" i="5"/>
  <c r="AP231" i="5"/>
  <c r="AP419" i="5"/>
  <c r="AP29" i="5"/>
  <c r="AP389" i="5"/>
  <c r="AP99" i="5"/>
  <c r="AK191" i="5"/>
  <c r="AL191" i="5"/>
  <c r="AP191" i="5"/>
  <c r="AO12" i="5"/>
  <c r="AN12" i="5"/>
  <c r="AP421" i="5"/>
  <c r="AP162" i="5"/>
  <c r="AK131" i="5"/>
  <c r="AL131" i="5"/>
  <c r="AK171" i="5"/>
  <c r="AP171" i="5"/>
  <c r="AL171" i="5"/>
  <c r="AL195" i="5"/>
  <c r="AK195" i="5"/>
  <c r="AP195" i="5"/>
  <c r="AK467" i="5"/>
  <c r="AL467" i="5"/>
  <c r="AP467" i="5"/>
  <c r="AK403" i="5"/>
  <c r="AL403" i="5"/>
  <c r="AP403" i="5"/>
  <c r="AL272" i="5"/>
  <c r="AK272" i="5"/>
  <c r="AP272" i="5"/>
  <c r="AL299" i="5"/>
  <c r="AK299" i="5"/>
  <c r="AK239" i="5"/>
  <c r="AL239" i="5"/>
  <c r="AM80" i="4"/>
  <c r="AN80" i="4" s="1"/>
  <c r="W80" i="4"/>
  <c r="Y80" i="4" s="1"/>
  <c r="AL291" i="5"/>
  <c r="AK291" i="5"/>
  <c r="AK487" i="5"/>
  <c r="AL487" i="5"/>
  <c r="AK515" i="5"/>
  <c r="AL515" i="5"/>
  <c r="AP515" i="5"/>
  <c r="X98" i="4"/>
  <c r="AP264" i="5"/>
  <c r="AM41" i="4"/>
  <c r="AN41" i="4" s="1"/>
  <c r="W41" i="4"/>
  <c r="Y41" i="4" s="1"/>
  <c r="Z41" i="4" s="1"/>
  <c r="AF41" i="4" s="1"/>
  <c r="AL163" i="5"/>
  <c r="AK163" i="5"/>
  <c r="AP163" i="5"/>
  <c r="AP97" i="5"/>
  <c r="AK507" i="5"/>
  <c r="AL507" i="5"/>
  <c r="AP507" i="5"/>
  <c r="AL524" i="5"/>
  <c r="AK524" i="5"/>
  <c r="AL210" i="5"/>
  <c r="AK210" i="5"/>
  <c r="AL522" i="5"/>
  <c r="AK522" i="5"/>
  <c r="AK410" i="5"/>
  <c r="AL410" i="5"/>
  <c r="AL302" i="5"/>
  <c r="AK302" i="5"/>
  <c r="AL67" i="5"/>
  <c r="AK67" i="5"/>
  <c r="AP67" i="5"/>
  <c r="AP425" i="5"/>
  <c r="AK425" i="5"/>
  <c r="AL425" i="5"/>
  <c r="AK426" i="5"/>
  <c r="AL426" i="5"/>
  <c r="AK142" i="5"/>
  <c r="AL142" i="5"/>
  <c r="AK529" i="5"/>
  <c r="AL529" i="5"/>
  <c r="AP529" i="5"/>
  <c r="AP537" i="5"/>
  <c r="AL537" i="5"/>
  <c r="AK537" i="5"/>
  <c r="AL190" i="5"/>
  <c r="AK190" i="5"/>
  <c r="AK161" i="5"/>
  <c r="AL161" i="5"/>
  <c r="AP161" i="5"/>
  <c r="AL544" i="5"/>
  <c r="AK544" i="5"/>
  <c r="AL259" i="5"/>
  <c r="AK259" i="5"/>
  <c r="AK206" i="5"/>
  <c r="AL206" i="5"/>
  <c r="AP206" i="5"/>
  <c r="AL53" i="5"/>
  <c r="AK53" i="5"/>
  <c r="AP53" i="5"/>
  <c r="AK499" i="5"/>
  <c r="AL499" i="5"/>
  <c r="AL337" i="5"/>
  <c r="AK337" i="5"/>
  <c r="AL139" i="5"/>
  <c r="AK139" i="5"/>
  <c r="AP139" i="5"/>
  <c r="AL551" i="5"/>
  <c r="AK551" i="5"/>
  <c r="AL440" i="5"/>
  <c r="AP440" i="5"/>
  <c r="AK440" i="5"/>
  <c r="AK331" i="5"/>
  <c r="AL331" i="5"/>
  <c r="AP331" i="5"/>
  <c r="AK94" i="5"/>
  <c r="AL94" i="5"/>
  <c r="AK93" i="5"/>
  <c r="AL93" i="5"/>
  <c r="AK404" i="5"/>
  <c r="AL404" i="5"/>
  <c r="AL372" i="5"/>
  <c r="AK372" i="5"/>
  <c r="AL232" i="5"/>
  <c r="AK232" i="5"/>
  <c r="AL57" i="5"/>
  <c r="AP57" i="5"/>
  <c r="AK57" i="5"/>
  <c r="AK436" i="5"/>
  <c r="AL436" i="5"/>
  <c r="AK274" i="5"/>
  <c r="AL274" i="5"/>
  <c r="AK278" i="5"/>
  <c r="AL278" i="5"/>
  <c r="AK158" i="5"/>
  <c r="AL158" i="5"/>
  <c r="AK22" i="5"/>
  <c r="AL22" i="5"/>
  <c r="AK484" i="5"/>
  <c r="AL484" i="5"/>
  <c r="AP484" i="5"/>
  <c r="AK282" i="5"/>
  <c r="AP282" i="5"/>
  <c r="AL282" i="5"/>
  <c r="AK170" i="5"/>
  <c r="AL170" i="5"/>
  <c r="AP170" i="5"/>
  <c r="AK45" i="5"/>
  <c r="AL45" i="5"/>
  <c r="AL417" i="5"/>
  <c r="AK417" i="5"/>
  <c r="AK349" i="5"/>
  <c r="AP349" i="5"/>
  <c r="AL349" i="5"/>
  <c r="AK257" i="5"/>
  <c r="AL257" i="5"/>
  <c r="AL186" i="5"/>
  <c r="AK186" i="5"/>
  <c r="AP186" i="5"/>
  <c r="AP50" i="5"/>
  <c r="AL50" i="5"/>
  <c r="AK50" i="5"/>
  <c r="AK517" i="5"/>
  <c r="AL517" i="5"/>
  <c r="AK342" i="5"/>
  <c r="AL342" i="5"/>
  <c r="AP342" i="5"/>
  <c r="AL218" i="5"/>
  <c r="AK218" i="5"/>
  <c r="AK101" i="5"/>
  <c r="AL101" i="5"/>
  <c r="AK213" i="5"/>
  <c r="AP213" i="5"/>
  <c r="AL213" i="5"/>
  <c r="AL188" i="5"/>
  <c r="AP188" i="5"/>
  <c r="AK188" i="5"/>
  <c r="AL33" i="5"/>
  <c r="AP33" i="5"/>
  <c r="AK33" i="5"/>
  <c r="AP31" i="5"/>
  <c r="AM32" i="4"/>
  <c r="AN32" i="4" s="1"/>
  <c r="W32" i="4"/>
  <c r="Y32" i="4" s="1"/>
  <c r="AP499" i="5"/>
  <c r="AK281" i="5"/>
  <c r="AL281" i="5"/>
  <c r="AK120" i="5"/>
  <c r="AL120" i="5"/>
  <c r="AP120" i="5"/>
  <c r="AK159" i="5"/>
  <c r="AL159" i="5"/>
  <c r="AK383" i="5"/>
  <c r="AL383" i="5"/>
  <c r="AK533" i="5"/>
  <c r="AL533" i="5"/>
  <c r="AP299" i="5"/>
  <c r="W91" i="4" l="1"/>
  <c r="X91" i="4" s="1"/>
  <c r="AM153" i="4"/>
  <c r="AN153" i="4" s="1"/>
  <c r="W113" i="4"/>
  <c r="Y113" i="4" s="1"/>
  <c r="W96" i="4"/>
  <c r="Y96" i="4" s="1"/>
  <c r="Z96" i="4" s="1"/>
  <c r="AF96" i="4" s="1"/>
  <c r="AO96" i="4" s="1"/>
  <c r="W63" i="4"/>
  <c r="W38" i="4"/>
  <c r="Z29" i="4"/>
  <c r="AF29" i="4" s="1"/>
  <c r="AR118" i="5"/>
  <c r="AQ437" i="5"/>
  <c r="AQ359" i="5"/>
  <c r="AR386" i="5"/>
  <c r="AR516" i="5"/>
  <c r="AR379" i="5"/>
  <c r="AR238" i="5"/>
  <c r="AR335" i="5"/>
  <c r="AQ332" i="5"/>
  <c r="AQ494" i="5"/>
  <c r="AQ326" i="5"/>
  <c r="AQ396" i="5"/>
  <c r="AR199" i="5"/>
  <c r="AQ287" i="5"/>
  <c r="AR557" i="5"/>
  <c r="AR234" i="5"/>
  <c r="AR524" i="5"/>
  <c r="AQ25" i="5"/>
  <c r="AR432" i="5"/>
  <c r="AR512" i="5"/>
  <c r="AR72" i="5"/>
  <c r="AR267" i="5"/>
  <c r="AQ187" i="5"/>
  <c r="AQ410" i="5"/>
  <c r="AR405" i="5"/>
  <c r="AR245" i="5"/>
  <c r="AR290" i="5"/>
  <c r="AR354" i="5"/>
  <c r="AR182" i="5"/>
  <c r="AQ497" i="5"/>
  <c r="AR338" i="5"/>
  <c r="AQ465" i="5"/>
  <c r="AR470" i="5"/>
  <c r="AR365" i="5"/>
  <c r="AR64" i="5"/>
  <c r="AR371" i="5"/>
  <c r="AQ485" i="5"/>
  <c r="AQ250" i="5"/>
  <c r="AQ491" i="5"/>
  <c r="AQ112" i="5"/>
  <c r="AR134" i="5"/>
  <c r="AR492" i="5"/>
  <c r="AP10" i="5"/>
  <c r="AQ216" i="5"/>
  <c r="AQ173" i="5"/>
  <c r="AQ340" i="5"/>
  <c r="AR558" i="5"/>
  <c r="AQ212" i="5"/>
  <c r="AR109" i="5"/>
  <c r="AR380" i="5"/>
  <c r="AQ38" i="5"/>
  <c r="AR153" i="5"/>
  <c r="AQ306" i="5"/>
  <c r="AQ355" i="5"/>
  <c r="AR300" i="5"/>
  <c r="AQ119" i="5"/>
  <c r="AQ387" i="5"/>
  <c r="AQ301" i="5"/>
  <c r="AR390" i="5"/>
  <c r="AQ428" i="5"/>
  <c r="AR244" i="5"/>
  <c r="AR214" i="5"/>
  <c r="AR383" i="5"/>
  <c r="AQ460" i="5"/>
  <c r="AQ48" i="5"/>
  <c r="AR346" i="5"/>
  <c r="AQ189" i="5"/>
  <c r="AR527" i="5"/>
  <c r="AQ159" i="5"/>
  <c r="AQ273" i="5"/>
  <c r="AR78" i="5"/>
  <c r="AR175" i="5"/>
  <c r="AQ58" i="5"/>
  <c r="AR312" i="5"/>
  <c r="AR522" i="5"/>
  <c r="AR536" i="5"/>
  <c r="AQ217" i="5"/>
  <c r="AR333" i="5"/>
  <c r="AR252" i="5"/>
  <c r="AR486" i="5"/>
  <c r="AR461" i="5"/>
  <c r="AR166" i="5"/>
  <c r="AQ110" i="5"/>
  <c r="AR506" i="5"/>
  <c r="AR520" i="5"/>
  <c r="AR105" i="5"/>
  <c r="AQ218" i="5"/>
  <c r="AR130" i="5"/>
  <c r="AR477" i="5"/>
  <c r="AQ350" i="5"/>
  <c r="AQ47" i="5"/>
  <c r="AQ205" i="5"/>
  <c r="AQ404" i="5"/>
  <c r="Z44" i="4"/>
  <c r="Z80" i="4"/>
  <c r="AF80" i="4" s="1"/>
  <c r="AJ73" i="4"/>
  <c r="W85" i="4"/>
  <c r="Y85" i="4" s="1"/>
  <c r="Z85" i="4" s="1"/>
  <c r="AF85" i="4" s="1"/>
  <c r="AG85" i="4" s="1"/>
  <c r="AI85" i="4" s="1"/>
  <c r="AM146" i="4"/>
  <c r="AN146" i="4" s="1"/>
  <c r="W138" i="4"/>
  <c r="Y138" i="4" s="1"/>
  <c r="Z138" i="4" s="1"/>
  <c r="W55" i="4"/>
  <c r="Y55" i="4" s="1"/>
  <c r="Z55" i="4" s="1"/>
  <c r="W74" i="4"/>
  <c r="Y74" i="4" s="1"/>
  <c r="Z74" i="4" s="1"/>
  <c r="AF74" i="4" s="1"/>
  <c r="AG74" i="4" s="1"/>
  <c r="AI74" i="4" s="1"/>
  <c r="W17" i="4"/>
  <c r="Y17" i="4" s="1"/>
  <c r="Z17" i="4" s="1"/>
  <c r="AM123" i="4"/>
  <c r="AN123" i="4" s="1"/>
  <c r="AM116" i="4"/>
  <c r="AN116" i="4" s="1"/>
  <c r="W47" i="4"/>
  <c r="X47" i="4" s="1"/>
  <c r="AJ47" i="4" s="1"/>
  <c r="W106" i="4"/>
  <c r="Y106" i="4" s="1"/>
  <c r="Z106" i="4" s="1"/>
  <c r="AF106" i="4" s="1"/>
  <c r="W136" i="4"/>
  <c r="Y136" i="4" s="1"/>
  <c r="Z136" i="4" s="1"/>
  <c r="AF136" i="4" s="1"/>
  <c r="W45" i="4"/>
  <c r="AM44" i="4"/>
  <c r="AN44" i="4" s="1"/>
  <c r="W81" i="4"/>
  <c r="Y81" i="4" s="1"/>
  <c r="Z81" i="4" s="1"/>
  <c r="AF81" i="4" s="1"/>
  <c r="AG81" i="4" s="1"/>
  <c r="AI81" i="4" s="1"/>
  <c r="AM49" i="4"/>
  <c r="AN49" i="4" s="1"/>
  <c r="AM9" i="4"/>
  <c r="AN9" i="4" s="1"/>
  <c r="AM97" i="4"/>
  <c r="AN97" i="4" s="1"/>
  <c r="AN77" i="4"/>
  <c r="W102" i="4"/>
  <c r="Y102" i="4" s="1"/>
  <c r="Z102" i="4" s="1"/>
  <c r="AF102" i="4" s="1"/>
  <c r="Z111" i="4"/>
  <c r="AF111" i="4" s="1"/>
  <c r="W118" i="4"/>
  <c r="Y118" i="4" s="1"/>
  <c r="Z118" i="4" s="1"/>
  <c r="AF118" i="4" s="1"/>
  <c r="AG118" i="4" s="1"/>
  <c r="AI118" i="4" s="1"/>
  <c r="AN118" i="4"/>
  <c r="Z70" i="4"/>
  <c r="AF70" i="4" s="1"/>
  <c r="AR483" i="5"/>
  <c r="AQ93" i="5"/>
  <c r="AQ345" i="5"/>
  <c r="AR262" i="5"/>
  <c r="AQ454" i="5"/>
  <c r="AQ127" i="5"/>
  <c r="AR496" i="5"/>
  <c r="AQ402" i="5"/>
  <c r="AQ544" i="5"/>
  <c r="AR81" i="5"/>
  <c r="AQ372" i="5"/>
  <c r="AQ24" i="5"/>
  <c r="Z16" i="4"/>
  <c r="AF16" i="4" s="1"/>
  <c r="W7" i="4"/>
  <c r="AE7" i="4" s="1"/>
  <c r="W76" i="4"/>
  <c r="X76" i="4" s="1"/>
  <c r="AJ76" i="4" s="1"/>
  <c r="W127" i="4"/>
  <c r="Y127" i="4" s="1"/>
  <c r="Z127" i="4" s="1"/>
  <c r="Z49" i="4"/>
  <c r="AF49" i="4" s="1"/>
  <c r="AO49" i="4" s="1"/>
  <c r="AM52" i="4"/>
  <c r="AN52" i="4" s="1"/>
  <c r="W18" i="4"/>
  <c r="Y18" i="4" s="1"/>
  <c r="Z18" i="4" s="1"/>
  <c r="AF18" i="4" s="1"/>
  <c r="Z75" i="4"/>
  <c r="AF75" i="4" s="1"/>
  <c r="AO75" i="4" s="1"/>
  <c r="Z97" i="4"/>
  <c r="AM70" i="4"/>
  <c r="AN70" i="4" s="1"/>
  <c r="W35" i="4"/>
  <c r="X35" i="4" s="1"/>
  <c r="AJ35" i="4" s="1"/>
  <c r="AR535" i="5"/>
  <c r="AQ476" i="5"/>
  <c r="AR517" i="5"/>
  <c r="AR406" i="5"/>
  <c r="AR498" i="5"/>
  <c r="AQ104" i="5"/>
  <c r="AR330" i="5"/>
  <c r="AQ79" i="5"/>
  <c r="AQ184" i="5"/>
  <c r="AR384" i="5"/>
  <c r="AR426" i="5"/>
  <c r="AQ30" i="5"/>
  <c r="AR165" i="5"/>
  <c r="AR34" i="5"/>
  <c r="AQ318" i="5"/>
  <c r="AQ87" i="5"/>
  <c r="AR260" i="5"/>
  <c r="AQ23" i="5"/>
  <c r="AR551" i="5"/>
  <c r="AQ444" i="5"/>
  <c r="AQ530" i="5"/>
  <c r="AR321" i="5"/>
  <c r="AQ158" i="5"/>
  <c r="AR417" i="5"/>
  <c r="AQ302" i="5"/>
  <c r="AR70" i="5"/>
  <c r="AQ211" i="5"/>
  <c r="AN105" i="4"/>
  <c r="AC546" i="5"/>
  <c r="AD546" i="5" s="1"/>
  <c r="AC523" i="5"/>
  <c r="AE523" i="5" s="1"/>
  <c r="AC459" i="5"/>
  <c r="AD459" i="5" s="1"/>
  <c r="AC206" i="5"/>
  <c r="AS206" i="5" s="1"/>
  <c r="AL9" i="5"/>
  <c r="Z87" i="4"/>
  <c r="AF87" i="4" s="1"/>
  <c r="AO87" i="4" s="1"/>
  <c r="AC379" i="5"/>
  <c r="AE379" i="5" s="1"/>
  <c r="AC392" i="5"/>
  <c r="AS392" i="5" s="1"/>
  <c r="AC371" i="5"/>
  <c r="AE371" i="5" s="1"/>
  <c r="AC522" i="5"/>
  <c r="AC512" i="5"/>
  <c r="AS512" i="5" s="1"/>
  <c r="AC429" i="5"/>
  <c r="AS429" i="5" s="1"/>
  <c r="Z117" i="4"/>
  <c r="AF117" i="4" s="1"/>
  <c r="AC160" i="5"/>
  <c r="AS160" i="5" s="1"/>
  <c r="AB288" i="5"/>
  <c r="AC234" i="5"/>
  <c r="AD234" i="5" s="1"/>
  <c r="AC525" i="5"/>
  <c r="AE525" i="5" s="1"/>
  <c r="AC426" i="5"/>
  <c r="AD426" i="5" s="1"/>
  <c r="AC534" i="5"/>
  <c r="AD534" i="5" s="1"/>
  <c r="AC432" i="5"/>
  <c r="AS432" i="5" s="1"/>
  <c r="AC221" i="5"/>
  <c r="AS221" i="5" s="1"/>
  <c r="AC121" i="5"/>
  <c r="AS121" i="5" s="1"/>
  <c r="AC537" i="5"/>
  <c r="AE537" i="5" s="1"/>
  <c r="V11" i="5"/>
  <c r="AC80" i="5"/>
  <c r="AS80" i="5" s="1"/>
  <c r="AC23" i="5"/>
  <c r="AD23" i="5" s="1"/>
  <c r="AC530" i="5"/>
  <c r="AD530" i="5" s="1"/>
  <c r="AC289" i="5"/>
  <c r="AD289" i="5" s="1"/>
  <c r="AC264" i="5"/>
  <c r="AE264" i="5" s="1"/>
  <c r="AC446" i="5"/>
  <c r="AD446" i="5" s="1"/>
  <c r="AC117" i="5"/>
  <c r="AS117" i="5" s="1"/>
  <c r="AC97" i="5"/>
  <c r="AD97" i="5" s="1"/>
  <c r="AC105" i="5"/>
  <c r="AE105" i="5" s="1"/>
  <c r="B35" i="2"/>
  <c r="AC376" i="5"/>
  <c r="AD376" i="5" s="1"/>
  <c r="AC508" i="5"/>
  <c r="AE508" i="5" s="1"/>
  <c r="AC184" i="5"/>
  <c r="AD184" i="5" s="1"/>
  <c r="AQ77" i="5"/>
  <c r="AQ457" i="5"/>
  <c r="AR493" i="5"/>
  <c r="AR117" i="5"/>
  <c r="AQ22" i="5"/>
  <c r="AR422" i="5"/>
  <c r="AR20" i="5"/>
  <c r="AR284" i="5"/>
  <c r="AQ360" i="5"/>
  <c r="AR138" i="5"/>
  <c r="AR447" i="5"/>
  <c r="AQ37" i="5"/>
  <c r="AQ142" i="5"/>
  <c r="AQ229" i="5"/>
  <c r="AR233" i="5"/>
  <c r="AR258" i="5"/>
  <c r="AQ525" i="5"/>
  <c r="AQ239" i="5"/>
  <c r="AQ276" i="5"/>
  <c r="AQ42" i="5"/>
  <c r="AQ54" i="5"/>
  <c r="AR144" i="5"/>
  <c r="AR364" i="5"/>
  <c r="AQ219" i="5"/>
  <c r="AR463" i="5"/>
  <c r="K29" i="2"/>
  <c r="K30" i="2" s="1"/>
  <c r="AC463" i="5"/>
  <c r="AE463" i="5" s="1"/>
  <c r="AA445" i="5"/>
  <c r="W37" i="4"/>
  <c r="X37" i="4" s="1"/>
  <c r="AJ37" i="4" s="1"/>
  <c r="AR462" i="5"/>
  <c r="AQ21" i="5"/>
  <c r="AR448" i="5"/>
  <c r="AQ488" i="5"/>
  <c r="AR126" i="5"/>
  <c r="AR495" i="5"/>
  <c r="AR131" i="5"/>
  <c r="R31" i="2"/>
  <c r="S31" i="2" s="1"/>
  <c r="Q31" i="2"/>
  <c r="P31" i="2" s="1"/>
  <c r="AR378" i="5"/>
  <c r="AR255" i="5"/>
  <c r="AQ542" i="5"/>
  <c r="AR194" i="5"/>
  <c r="AQ190" i="5"/>
  <c r="AQ370" i="5"/>
  <c r="AN98" i="4"/>
  <c r="AQ257" i="5"/>
  <c r="AA97" i="5"/>
  <c r="AR368" i="5"/>
  <c r="AR45" i="5"/>
  <c r="AR232" i="5"/>
  <c r="AQ545" i="5"/>
  <c r="AR82" i="5"/>
  <c r="AR56" i="5"/>
  <c r="AM117" i="4"/>
  <c r="AN117" i="4" s="1"/>
  <c r="W46" i="4"/>
  <c r="Y46" i="4" s="1"/>
  <c r="Z46" i="4" s="1"/>
  <c r="AF46" i="4" s="1"/>
  <c r="AG46" i="4" s="1"/>
  <c r="AI46" i="4" s="1"/>
  <c r="W145" i="4"/>
  <c r="Y145" i="4" s="1"/>
  <c r="Z145" i="4" s="1"/>
  <c r="AF145" i="4" s="1"/>
  <c r="AA297" i="5"/>
  <c r="AB261" i="5"/>
  <c r="AA363" i="5"/>
  <c r="AC520" i="5"/>
  <c r="AS520" i="5" s="1"/>
  <c r="AC359" i="5"/>
  <c r="AD359" i="5" s="1"/>
  <c r="AB80" i="5"/>
  <c r="AC386" i="5"/>
  <c r="AS386" i="5" s="1"/>
  <c r="AA265" i="5"/>
  <c r="AB447" i="5"/>
  <c r="AB19" i="5"/>
  <c r="AB247" i="5"/>
  <c r="AB208" i="5"/>
  <c r="AB532" i="5"/>
  <c r="AB217" i="5"/>
  <c r="AA27" i="5"/>
  <c r="W20" i="4"/>
  <c r="X20" i="4" s="1"/>
  <c r="AJ20" i="4" s="1"/>
  <c r="AA7" i="5"/>
  <c r="AC265" i="5"/>
  <c r="AE265" i="5" s="1"/>
  <c r="AC540" i="5"/>
  <c r="AE540" i="5" s="1"/>
  <c r="AB529" i="5"/>
  <c r="AA540" i="5"/>
  <c r="AB560" i="5"/>
  <c r="AC470" i="5"/>
  <c r="AE470" i="5" s="1"/>
  <c r="AC460" i="5"/>
  <c r="AS460" i="5" s="1"/>
  <c r="AC138" i="5"/>
  <c r="AE138" i="5" s="1"/>
  <c r="AA550" i="5"/>
  <c r="AB293" i="5"/>
  <c r="AA551" i="5"/>
  <c r="Z115" i="4"/>
  <c r="AF115" i="4" s="1"/>
  <c r="AC31" i="5"/>
  <c r="AE31" i="5" s="1"/>
  <c r="AA26" i="5"/>
  <c r="AM16" i="4"/>
  <c r="AN16" i="4" s="1"/>
  <c r="AB301" i="5"/>
  <c r="AA283" i="5"/>
  <c r="AB254" i="5"/>
  <c r="AA116" i="5"/>
  <c r="AA405" i="5"/>
  <c r="AA142" i="5"/>
  <c r="AB150" i="5"/>
  <c r="AJ157" i="4"/>
  <c r="AM128" i="4"/>
  <c r="AN128" i="4" s="1"/>
  <c r="Z43" i="4"/>
  <c r="AF43" i="4" s="1"/>
  <c r="AO43" i="4" s="1"/>
  <c r="AB169" i="5"/>
  <c r="AB379" i="5"/>
  <c r="AB42" i="5"/>
  <c r="AB196" i="5"/>
  <c r="AB403" i="5"/>
  <c r="AB487" i="5"/>
  <c r="AB189" i="5"/>
  <c r="AA36" i="5"/>
  <c r="AA502" i="5"/>
  <c r="AB537" i="5"/>
  <c r="AA514" i="5"/>
  <c r="AB121" i="5"/>
  <c r="AB151" i="5"/>
  <c r="AA106" i="5"/>
  <c r="AA48" i="5"/>
  <c r="AA53" i="5"/>
  <c r="AM134" i="4"/>
  <c r="AN134" i="4" s="1"/>
  <c r="AA523" i="5"/>
  <c r="AB335" i="5"/>
  <c r="AB390" i="5"/>
  <c r="AA63" i="5"/>
  <c r="AB93" i="5"/>
  <c r="W61" i="4"/>
  <c r="Y61" i="4" s="1"/>
  <c r="Z61" i="4" s="1"/>
  <c r="AF61" i="4" s="1"/>
  <c r="AG61" i="4" s="1"/>
  <c r="AI61" i="4" s="1"/>
  <c r="AB262" i="5"/>
  <c r="AA90" i="5"/>
  <c r="AC277" i="5"/>
  <c r="AE277" i="5" s="1"/>
  <c r="AC306" i="5"/>
  <c r="AE306" i="5" s="1"/>
  <c r="AC38" i="5"/>
  <c r="AS38" i="5" s="1"/>
  <c r="AA263" i="5"/>
  <c r="AB235" i="5"/>
  <c r="AA343" i="5"/>
  <c r="AM56" i="4"/>
  <c r="AN56" i="4" s="1"/>
  <c r="AB331" i="5"/>
  <c r="W15" i="4"/>
  <c r="Y15" i="4" s="1"/>
  <c r="Z15" i="4" s="1"/>
  <c r="AF15" i="4" s="1"/>
  <c r="AA256" i="5"/>
  <c r="AB498" i="5"/>
  <c r="AB298" i="5"/>
  <c r="AC208" i="5"/>
  <c r="AS208" i="5" s="1"/>
  <c r="AC365" i="5"/>
  <c r="AS365" i="5" s="1"/>
  <c r="AC280" i="5"/>
  <c r="AS280" i="5" s="1"/>
  <c r="AC353" i="5"/>
  <c r="AE353" i="5" s="1"/>
  <c r="AC213" i="5"/>
  <c r="AD213" i="5" s="1"/>
  <c r="AC194" i="5"/>
  <c r="AE194" i="5" s="1"/>
  <c r="AA289" i="5"/>
  <c r="AA462" i="5"/>
  <c r="AB202" i="5"/>
  <c r="AA213" i="5"/>
  <c r="AC42" i="5"/>
  <c r="AD42" i="5" s="1"/>
  <c r="AC216" i="5"/>
  <c r="AS216" i="5" s="1"/>
  <c r="AC325" i="5"/>
  <c r="AE325" i="5" s="1"/>
  <c r="AB179" i="5"/>
  <c r="AA495" i="5"/>
  <c r="AC417" i="5"/>
  <c r="AS417" i="5" s="1"/>
  <c r="AC451" i="5"/>
  <c r="AE451" i="5" s="1"/>
  <c r="AC332" i="5"/>
  <c r="AS332" i="5" s="1"/>
  <c r="AB356" i="5"/>
  <c r="AB371" i="5"/>
  <c r="AB359" i="5"/>
  <c r="AB522" i="5"/>
  <c r="AB161" i="5"/>
  <c r="AB309" i="5"/>
  <c r="AA424" i="5"/>
  <c r="AA244" i="5"/>
  <c r="AC361" i="5"/>
  <c r="AE361" i="5" s="1"/>
  <c r="AC425" i="5"/>
  <c r="AD425" i="5" s="1"/>
  <c r="AC297" i="5"/>
  <c r="AD297" i="5" s="1"/>
  <c r="AC333" i="5"/>
  <c r="AS333" i="5" s="1"/>
  <c r="AC244" i="5"/>
  <c r="AE244" i="5" s="1"/>
  <c r="AC532" i="5"/>
  <c r="AD532" i="5" s="1"/>
  <c r="AC552" i="5"/>
  <c r="AD552" i="5" s="1"/>
  <c r="AC294" i="5"/>
  <c r="AS294" i="5" s="1"/>
  <c r="AA442" i="5"/>
  <c r="AA194" i="5"/>
  <c r="AA428" i="5"/>
  <c r="AA333" i="5"/>
  <c r="AC76" i="5"/>
  <c r="AD76" i="5" s="1"/>
  <c r="AC500" i="5"/>
  <c r="AS500" i="5" s="1"/>
  <c r="AC298" i="5"/>
  <c r="AS298" i="5" s="1"/>
  <c r="AC197" i="5"/>
  <c r="AE197" i="5" s="1"/>
  <c r="AC261" i="5"/>
  <c r="AS261" i="5" s="1"/>
  <c r="AA494" i="5"/>
  <c r="AA251" i="5"/>
  <c r="AB25" i="5"/>
  <c r="AB417" i="5"/>
  <c r="AC483" i="5"/>
  <c r="AD483" i="5" s="1"/>
  <c r="AC517" i="5"/>
  <c r="AD517" i="5" s="1"/>
  <c r="AC148" i="5"/>
  <c r="AD148" i="5" s="1"/>
  <c r="AC363" i="5"/>
  <c r="AE363" i="5" s="1"/>
  <c r="AC462" i="5"/>
  <c r="AD462" i="5" s="1"/>
  <c r="AC46" i="5"/>
  <c r="AE46" i="5" s="1"/>
  <c r="AC54" i="5"/>
  <c r="AS54" i="5" s="1"/>
  <c r="AU54" i="5" s="1"/>
  <c r="AC356" i="5"/>
  <c r="AS356" i="5" s="1"/>
  <c r="AC279" i="5"/>
  <c r="AS279" i="5" s="1"/>
  <c r="AC25" i="5"/>
  <c r="AD25" i="5" s="1"/>
  <c r="AB332" i="5"/>
  <c r="AA276" i="5"/>
  <c r="AC495" i="5"/>
  <c r="AS495" i="5" s="1"/>
  <c r="AC309" i="5"/>
  <c r="AD309" i="5" s="1"/>
  <c r="AC494" i="5"/>
  <c r="AD494" i="5" s="1"/>
  <c r="AC314" i="5"/>
  <c r="AD314" i="5" s="1"/>
  <c r="AC422" i="5"/>
  <c r="AS422" i="5" s="1"/>
  <c r="AC202" i="5"/>
  <c r="AS202" i="5" s="1"/>
  <c r="AU202" i="5" s="1"/>
  <c r="AC518" i="5"/>
  <c r="AE518" i="5" s="1"/>
  <c r="AC248" i="5"/>
  <c r="AD248" i="5" s="1"/>
  <c r="AB469" i="5"/>
  <c r="AA221" i="5"/>
  <c r="AB421" i="5"/>
  <c r="AB327" i="5"/>
  <c r="AA475" i="5"/>
  <c r="AB220" i="5"/>
  <c r="AB463" i="5"/>
  <c r="AC478" i="5"/>
  <c r="AE478" i="5" s="1"/>
  <c r="AC366" i="5"/>
  <c r="AE366" i="5" s="1"/>
  <c r="AC327" i="5"/>
  <c r="AE327" i="5" s="1"/>
  <c r="AM43" i="4"/>
  <c r="AN43" i="4" s="1"/>
  <c r="AC180" i="5"/>
  <c r="AS180" i="5" s="1"/>
  <c r="AA149" i="5"/>
  <c r="AB426" i="5"/>
  <c r="AB274" i="5"/>
  <c r="W142" i="4"/>
  <c r="Y142" i="4" s="1"/>
  <c r="Z142" i="4" s="1"/>
  <c r="AB366" i="5"/>
  <c r="AA304" i="5"/>
  <c r="AB94" i="5"/>
  <c r="W57" i="4"/>
  <c r="Y57" i="4" s="1"/>
  <c r="Z57" i="4" s="1"/>
  <c r="AF57" i="4" s="1"/>
  <c r="AC469" i="5"/>
  <c r="AE469" i="5" s="1"/>
  <c r="AC241" i="5"/>
  <c r="AS241" i="5" s="1"/>
  <c r="AC142" i="5"/>
  <c r="AS142" i="5" s="1"/>
  <c r="AC237" i="5"/>
  <c r="AS237" i="5" s="1"/>
  <c r="AC283" i="5"/>
  <c r="AE283" i="5" s="1"/>
  <c r="AC304" i="5"/>
  <c r="AS304" i="5" s="1"/>
  <c r="AC477" i="5"/>
  <c r="AD477" i="5" s="1"/>
  <c r="AB416" i="5"/>
  <c r="AA539" i="5"/>
  <c r="AC267" i="5"/>
  <c r="AE267" i="5" s="1"/>
  <c r="AC220" i="5"/>
  <c r="AD220" i="5" s="1"/>
  <c r="AC482" i="5"/>
  <c r="AS482" i="5" s="1"/>
  <c r="AC122" i="5"/>
  <c r="AD122" i="5" s="1"/>
  <c r="AC22" i="5"/>
  <c r="AD22" i="5" s="1"/>
  <c r="AB133" i="5"/>
  <c r="AA59" i="5"/>
  <c r="AB429" i="5"/>
  <c r="AC341" i="5"/>
  <c r="AS341" i="5" s="1"/>
  <c r="AC101" i="5"/>
  <c r="AS101" i="5" s="1"/>
  <c r="AC374" i="5"/>
  <c r="AE374" i="5" s="1"/>
  <c r="AC165" i="5"/>
  <c r="AS165" i="5" s="1"/>
  <c r="AC504" i="5"/>
  <c r="AE504" i="5" s="1"/>
  <c r="AB351" i="5"/>
  <c r="AC405" i="5"/>
  <c r="AD405" i="5" s="1"/>
  <c r="AC26" i="5"/>
  <c r="AE26" i="5" s="1"/>
  <c r="AC416" i="5"/>
  <c r="AD416" i="5" s="1"/>
  <c r="AC150" i="5"/>
  <c r="AE150" i="5" s="1"/>
  <c r="AA241" i="5"/>
  <c r="AC351" i="5"/>
  <c r="AD351" i="5" s="1"/>
  <c r="AC551" i="5"/>
  <c r="AD551" i="5" s="1"/>
  <c r="AC94" i="5"/>
  <c r="AE94" i="5" s="1"/>
  <c r="AC476" i="5"/>
  <c r="AD476" i="5" s="1"/>
  <c r="AC254" i="5"/>
  <c r="AS254" i="5" s="1"/>
  <c r="AC133" i="5"/>
  <c r="AS133" i="5" s="1"/>
  <c r="AC274" i="5"/>
  <c r="AS274" i="5" s="1"/>
  <c r="AC301" i="5"/>
  <c r="AE301" i="5" s="1"/>
  <c r="AC421" i="5"/>
  <c r="AE421" i="5" s="1"/>
  <c r="AC116" i="5"/>
  <c r="AE116" i="5" s="1"/>
  <c r="AC475" i="5"/>
  <c r="AE475" i="5" s="1"/>
  <c r="AC438" i="5"/>
  <c r="AE438" i="5" s="1"/>
  <c r="AA260" i="5"/>
  <c r="AB546" i="5"/>
  <c r="AB545" i="5"/>
  <c r="AC222" i="5"/>
  <c r="AD222" i="5" s="1"/>
  <c r="AC434" i="5"/>
  <c r="AS434" i="5" s="1"/>
  <c r="AC158" i="5"/>
  <c r="AE158" i="5" s="1"/>
  <c r="AC360" i="5"/>
  <c r="AE360" i="5" s="1"/>
  <c r="AC496" i="5"/>
  <c r="AD496" i="5" s="1"/>
  <c r="AC232" i="5"/>
  <c r="AS232" i="5" s="1"/>
  <c r="AA222" i="5"/>
  <c r="AB132" i="5"/>
  <c r="AB360" i="5"/>
  <c r="AA137" i="5"/>
  <c r="AB368" i="5"/>
  <c r="AB174" i="5"/>
  <c r="AC50" i="5"/>
  <c r="AE50" i="5" s="1"/>
  <c r="AC200" i="5"/>
  <c r="AD200" i="5" s="1"/>
  <c r="AC132" i="5"/>
  <c r="AE132" i="5" s="1"/>
  <c r="AB278" i="5"/>
  <c r="AC59" i="5"/>
  <c r="AS59" i="5" s="1"/>
  <c r="AA376" i="5"/>
  <c r="AB31" i="5"/>
  <c r="AA499" i="5"/>
  <c r="W125" i="4"/>
  <c r="Y125" i="4" s="1"/>
  <c r="Z125" i="4" s="1"/>
  <c r="W14" i="4"/>
  <c r="Y14" i="4" s="1"/>
  <c r="Z14" i="4" s="1"/>
  <c r="AC174" i="5"/>
  <c r="AE174" i="5" s="1"/>
  <c r="AC238" i="5"/>
  <c r="AE238" i="5" s="1"/>
  <c r="AC137" i="5"/>
  <c r="AD137" i="5" s="1"/>
  <c r="AC114" i="5"/>
  <c r="AE114" i="5" s="1"/>
  <c r="AC354" i="5"/>
  <c r="AD354" i="5" s="1"/>
  <c r="AC168" i="5"/>
  <c r="AE168" i="5" s="1"/>
  <c r="AA168" i="5"/>
  <c r="AA50" i="5"/>
  <c r="AA114" i="5"/>
  <c r="AA438" i="5"/>
  <c r="AC58" i="5"/>
  <c r="AD58" i="5" s="1"/>
  <c r="AC120" i="5"/>
  <c r="AD120" i="5" s="1"/>
  <c r="AC140" i="5"/>
  <c r="AD140" i="5" s="1"/>
  <c r="AA543" i="5"/>
  <c r="AB354" i="5"/>
  <c r="AA160" i="5"/>
  <c r="AB452" i="5"/>
  <c r="AB259" i="5"/>
  <c r="AA140" i="5"/>
  <c r="AC278" i="5"/>
  <c r="AS278" i="5" s="1"/>
  <c r="AU278" i="5" s="1"/>
  <c r="AC556" i="5"/>
  <c r="AE556" i="5" s="1"/>
  <c r="AC259" i="5"/>
  <c r="AE259" i="5" s="1"/>
  <c r="AC295" i="5"/>
  <c r="AE295" i="5" s="1"/>
  <c r="AC479" i="5"/>
  <c r="AS479" i="5" s="1"/>
  <c r="AC68" i="5"/>
  <c r="AD68" i="5" s="1"/>
  <c r="AC262" i="5"/>
  <c r="AS262" i="5" s="1"/>
  <c r="AC21" i="5"/>
  <c r="AE21" i="5" s="1"/>
  <c r="AC260" i="5"/>
  <c r="AS260" i="5" s="1"/>
  <c r="AC511" i="5"/>
  <c r="AE511" i="5" s="1"/>
  <c r="AC65" i="5"/>
  <c r="AD65" i="5" s="1"/>
  <c r="AC343" i="5"/>
  <c r="AS343" i="5" s="1"/>
  <c r="AC243" i="5"/>
  <c r="AD243" i="5" s="1"/>
  <c r="AC73" i="5"/>
  <c r="AE73" i="5" s="1"/>
  <c r="AC502" i="5"/>
  <c r="AD502" i="5" s="1"/>
  <c r="AC543" i="5"/>
  <c r="AS543" i="5" s="1"/>
  <c r="AC440" i="5"/>
  <c r="AE440" i="5" s="1"/>
  <c r="AC452" i="5"/>
  <c r="AE452" i="5" s="1"/>
  <c r="AC499" i="5"/>
  <c r="AS499" i="5" s="1"/>
  <c r="AC36" i="5"/>
  <c r="AD36" i="5" s="1"/>
  <c r="AB49" i="5"/>
  <c r="AC155" i="5"/>
  <c r="AE155" i="5" s="1"/>
  <c r="AC217" i="5"/>
  <c r="AE217" i="5" s="1"/>
  <c r="AC188" i="5"/>
  <c r="AD188" i="5" s="1"/>
  <c r="AC390" i="5"/>
  <c r="AD390" i="5" s="1"/>
  <c r="AC226" i="5"/>
  <c r="AE226" i="5" s="1"/>
  <c r="AC173" i="5"/>
  <c r="AS173" i="5" s="1"/>
  <c r="AC106" i="5"/>
  <c r="AD106" i="5" s="1"/>
  <c r="AC514" i="5"/>
  <c r="AE514" i="5" s="1"/>
  <c r="AC27" i="5"/>
  <c r="AE27" i="5" s="1"/>
  <c r="AC40" i="5"/>
  <c r="AS40" i="5" s="1"/>
  <c r="AC223" i="5"/>
  <c r="AS223" i="5" s="1"/>
  <c r="AC181" i="5"/>
  <c r="AS181" i="5" s="1"/>
  <c r="AC151" i="5"/>
  <c r="AS151" i="5" s="1"/>
  <c r="AC399" i="5"/>
  <c r="AS399" i="5" s="1"/>
  <c r="AC310" i="5"/>
  <c r="AE310" i="5" s="1"/>
  <c r="AC345" i="5"/>
  <c r="AE345" i="5" s="1"/>
  <c r="AC505" i="5"/>
  <c r="AD505" i="5" s="1"/>
  <c r="AA223" i="5"/>
  <c r="AA188" i="5"/>
  <c r="AB431" i="5"/>
  <c r="AB181" i="5"/>
  <c r="AA275" i="5"/>
  <c r="AC127" i="5"/>
  <c r="AS127" i="5" s="1"/>
  <c r="AU127" i="5" s="1"/>
  <c r="AC136" i="5"/>
  <c r="AS136" i="5" s="1"/>
  <c r="AC126" i="5"/>
  <c r="AE126" i="5" s="1"/>
  <c r="AC544" i="5"/>
  <c r="AS544" i="5" s="1"/>
  <c r="AC48" i="5"/>
  <c r="AE48" i="5" s="1"/>
  <c r="AC275" i="5"/>
  <c r="AS275" i="5" s="1"/>
  <c r="AC112" i="5"/>
  <c r="AS112" i="5" s="1"/>
  <c r="AC473" i="5"/>
  <c r="AD473" i="5" s="1"/>
  <c r="AC143" i="5"/>
  <c r="AD143" i="5" s="1"/>
  <c r="AC104" i="5"/>
  <c r="AE104" i="5" s="1"/>
  <c r="AA544" i="5"/>
  <c r="AA119" i="5"/>
  <c r="AB166" i="5"/>
  <c r="AC335" i="5"/>
  <c r="AE335" i="5" s="1"/>
  <c r="AC245" i="5"/>
  <c r="AE245" i="5" s="1"/>
  <c r="AC214" i="5"/>
  <c r="AD214" i="5" s="1"/>
  <c r="AC342" i="5"/>
  <c r="AS342" i="5" s="1"/>
  <c r="AB226" i="5"/>
  <c r="AB112" i="5"/>
  <c r="AB430" i="5"/>
  <c r="AC349" i="5"/>
  <c r="AD349" i="5" s="1"/>
  <c r="AC383" i="5"/>
  <c r="AE383" i="5" s="1"/>
  <c r="AC466" i="5"/>
  <c r="AE466" i="5" s="1"/>
  <c r="AC119" i="5"/>
  <c r="AE119" i="5" s="1"/>
  <c r="AC12" i="5"/>
  <c r="AD12" i="5" s="1"/>
  <c r="AB103" i="5"/>
  <c r="AC350" i="5"/>
  <c r="AE350" i="5" s="1"/>
  <c r="AC24" i="5"/>
  <c r="AD24" i="5" s="1"/>
  <c r="AC378" i="5"/>
  <c r="AD378" i="5" s="1"/>
  <c r="AC492" i="5"/>
  <c r="AE492" i="5" s="1"/>
  <c r="AC210" i="5"/>
  <c r="AD210" i="5" s="1"/>
  <c r="AA303" i="5"/>
  <c r="AB91" i="5"/>
  <c r="W66" i="4"/>
  <c r="Y66" i="4" s="1"/>
  <c r="Z66" i="4" s="1"/>
  <c r="AC111" i="5"/>
  <c r="AD111" i="5" s="1"/>
  <c r="AC239" i="5"/>
  <c r="AE239" i="5" s="1"/>
  <c r="AC32" i="5"/>
  <c r="AE32" i="5" s="1"/>
  <c r="AA64" i="5"/>
  <c r="AA387" i="5"/>
  <c r="AC55" i="5"/>
  <c r="AE55" i="5" s="1"/>
  <c r="AC77" i="5"/>
  <c r="AE77" i="5" s="1"/>
  <c r="AC113" i="5"/>
  <c r="AD113" i="5" s="1"/>
  <c r="AC369" i="5"/>
  <c r="AE369" i="5" s="1"/>
  <c r="AA404" i="5"/>
  <c r="AB86" i="5"/>
  <c r="AA55" i="5"/>
  <c r="AB203" i="5"/>
  <c r="AC269" i="5"/>
  <c r="AS269" i="5" s="1"/>
  <c r="AC468" i="5"/>
  <c r="AD468" i="5" s="1"/>
  <c r="AB436" i="5"/>
  <c r="AA32" i="5"/>
  <c r="AA111" i="5"/>
  <c r="AC303" i="5"/>
  <c r="AS303" i="5" s="1"/>
  <c r="AC49" i="5"/>
  <c r="AD49" i="5" s="1"/>
  <c r="AC103" i="5"/>
  <c r="AD103" i="5" s="1"/>
  <c r="AC404" i="5"/>
  <c r="AD404" i="5" s="1"/>
  <c r="AA321" i="5"/>
  <c r="AC166" i="5"/>
  <c r="AD166" i="5" s="1"/>
  <c r="AB105" i="5"/>
  <c r="AA296" i="5"/>
  <c r="AA175" i="5"/>
  <c r="AC441" i="5"/>
  <c r="AE441" i="5" s="1"/>
  <c r="AC62" i="5"/>
  <c r="AD62" i="5" s="1"/>
  <c r="AC536" i="5"/>
  <c r="AS536" i="5" s="1"/>
  <c r="AC83" i="5"/>
  <c r="AS83" i="5" s="1"/>
  <c r="AC75" i="5"/>
  <c r="AD75" i="5" s="1"/>
  <c r="AC385" i="5"/>
  <c r="AE385" i="5" s="1"/>
  <c r="AA375" i="5"/>
  <c r="AA329" i="5"/>
  <c r="AA336" i="5"/>
  <c r="AA402" i="5"/>
  <c r="AB401" i="5"/>
  <c r="AA441" i="5"/>
  <c r="AB525" i="5"/>
  <c r="AC515" i="5"/>
  <c r="AS515" i="5" s="1"/>
  <c r="AC189" i="5"/>
  <c r="AS189" i="5" s="1"/>
  <c r="AC313" i="5"/>
  <c r="AD313" i="5" s="1"/>
  <c r="AC203" i="5"/>
  <c r="AS203" i="5" s="1"/>
  <c r="AC472" i="5"/>
  <c r="AE472" i="5" s="1"/>
  <c r="AC186" i="5"/>
  <c r="AD186" i="5" s="1"/>
  <c r="AC134" i="5"/>
  <c r="AE134" i="5" s="1"/>
  <c r="AB396" i="5"/>
  <c r="AA236" i="5"/>
  <c r="AA313" i="5"/>
  <c r="AA205" i="5"/>
  <c r="AB472" i="5"/>
  <c r="AB453" i="5"/>
  <c r="AC403" i="5"/>
  <c r="AD403" i="5" s="1"/>
  <c r="AC541" i="5"/>
  <c r="AD541" i="5" s="1"/>
  <c r="AC300" i="5"/>
  <c r="AD300" i="5" s="1"/>
  <c r="AC34" i="5"/>
  <c r="AS34" i="5" s="1"/>
  <c r="AC44" i="5"/>
  <c r="AD44" i="5" s="1"/>
  <c r="AA62" i="5"/>
  <c r="AA392" i="5"/>
  <c r="AC401" i="5"/>
  <c r="AE401" i="5" s="1"/>
  <c r="AC229" i="5"/>
  <c r="AD229" i="5" s="1"/>
  <c r="AC427" i="5"/>
  <c r="AS427" i="5" s="1"/>
  <c r="AB456" i="5"/>
  <c r="AB171" i="5"/>
  <c r="Y73" i="4"/>
  <c r="Z73" i="4" s="1"/>
  <c r="AA73" i="4" s="1"/>
  <c r="AC73" i="4" s="1"/>
  <c r="AD73" i="4" s="1"/>
  <c r="AC455" i="5"/>
  <c r="AD455" i="5" s="1"/>
  <c r="AC456" i="5"/>
  <c r="AS456" i="5" s="1"/>
  <c r="AC205" i="5"/>
  <c r="AD205" i="5" s="1"/>
  <c r="AC218" i="5"/>
  <c r="AE218" i="5" s="1"/>
  <c r="AC395" i="5"/>
  <c r="AS395" i="5" s="1"/>
  <c r="AC128" i="5"/>
  <c r="AD128" i="5" s="1"/>
  <c r="AC375" i="5"/>
  <c r="AD375" i="5" s="1"/>
  <c r="AE73" i="4"/>
  <c r="AA455" i="5"/>
  <c r="AA60" i="5"/>
  <c r="AB8" i="5"/>
  <c r="AA382" i="5"/>
  <c r="AC329" i="5"/>
  <c r="AS329" i="5" s="1"/>
  <c r="AC302" i="5"/>
  <c r="AE302" i="5" s="1"/>
  <c r="AC171" i="5"/>
  <c r="AS171" i="5" s="1"/>
  <c r="AC450" i="5"/>
  <c r="AS450" i="5" s="1"/>
  <c r="AC336" i="5"/>
  <c r="AD336" i="5" s="1"/>
  <c r="AC60" i="5"/>
  <c r="AD60" i="5" s="1"/>
  <c r="AC381" i="5"/>
  <c r="AS381" i="5" s="1"/>
  <c r="AC236" i="5"/>
  <c r="AE236" i="5" s="1"/>
  <c r="AC402" i="5"/>
  <c r="AD402" i="5" s="1"/>
  <c r="AC145" i="5"/>
  <c r="AD145" i="5" s="1"/>
  <c r="AC433" i="5"/>
  <c r="AS433" i="5" s="1"/>
  <c r="AC453" i="5"/>
  <c r="AE453" i="5" s="1"/>
  <c r="AC382" i="5"/>
  <c r="AD382" i="5" s="1"/>
  <c r="W135" i="4"/>
  <c r="Y135" i="4" s="1"/>
  <c r="Z135" i="4" s="1"/>
  <c r="AN11" i="5"/>
  <c r="AC125" i="5"/>
  <c r="AS125" i="5" s="1"/>
  <c r="AC513" i="5"/>
  <c r="AE513" i="5" s="1"/>
  <c r="AC377" i="5"/>
  <c r="AD377" i="5" s="1"/>
  <c r="AC29" i="5"/>
  <c r="AE29" i="5" s="1"/>
  <c r="AC129" i="5"/>
  <c r="AD129" i="5" s="1"/>
  <c r="AC69" i="5"/>
  <c r="AS69" i="5" s="1"/>
  <c r="AC193" i="5"/>
  <c r="AE193" i="5" s="1"/>
  <c r="AC486" i="5"/>
  <c r="AE486" i="5" s="1"/>
  <c r="AC398" i="5"/>
  <c r="AE398" i="5" s="1"/>
  <c r="AA294" i="5"/>
  <c r="AA69" i="5"/>
  <c r="AA486" i="5"/>
  <c r="AA70" i="5"/>
  <c r="AA548" i="5"/>
  <c r="AC70" i="5"/>
  <c r="AS70" i="5" s="1"/>
  <c r="AC251" i="5"/>
  <c r="AS251" i="5" s="1"/>
  <c r="AC228" i="5"/>
  <c r="AE228" i="5" s="1"/>
  <c r="AC285" i="5"/>
  <c r="AD285" i="5" s="1"/>
  <c r="AC110" i="5"/>
  <c r="AE110" i="5" s="1"/>
  <c r="AC43" i="5"/>
  <c r="AS43" i="5" s="1"/>
  <c r="AB400" i="5"/>
  <c r="AB533" i="5"/>
  <c r="AB513" i="5"/>
  <c r="AB509" i="5"/>
  <c r="AB228" i="5"/>
  <c r="AA29" i="5"/>
  <c r="AM33" i="4"/>
  <c r="AN33" i="4" s="1"/>
  <c r="AC179" i="5"/>
  <c r="AE179" i="5" s="1"/>
  <c r="AC394" i="5"/>
  <c r="AD394" i="5" s="1"/>
  <c r="AC481" i="5"/>
  <c r="AS481" i="5" s="1"/>
  <c r="AC533" i="5"/>
  <c r="AD533" i="5" s="1"/>
  <c r="AC424" i="5"/>
  <c r="AS424" i="5" s="1"/>
  <c r="AC268" i="5"/>
  <c r="AS268" i="5" s="1"/>
  <c r="AC270" i="5"/>
  <c r="AE270" i="5" s="1"/>
  <c r="AB255" i="5"/>
  <c r="AA129" i="5"/>
  <c r="AA394" i="5"/>
  <c r="AB270" i="5"/>
  <c r="AB425" i="5"/>
  <c r="AB491" i="5"/>
  <c r="AH18" i="4"/>
  <c r="AC444" i="5"/>
  <c r="AE444" i="5" s="1"/>
  <c r="AC555" i="5"/>
  <c r="AD555" i="5" s="1"/>
  <c r="AC338" i="5"/>
  <c r="AS338" i="5" s="1"/>
  <c r="AC163" i="5"/>
  <c r="AD163" i="5" s="1"/>
  <c r="AB163" i="5"/>
  <c r="AA157" i="5"/>
  <c r="AC99" i="5"/>
  <c r="AD99" i="5" s="1"/>
  <c r="AC255" i="5"/>
  <c r="AE255" i="5" s="1"/>
  <c r="AC553" i="5"/>
  <c r="AS553" i="5" s="1"/>
  <c r="AC388" i="5"/>
  <c r="AE388" i="5" s="1"/>
  <c r="AC247" i="5"/>
  <c r="AD247" i="5" s="1"/>
  <c r="AC93" i="5"/>
  <c r="AE93" i="5" s="1"/>
  <c r="W12" i="4"/>
  <c r="AE12" i="4" s="1"/>
  <c r="AC509" i="5"/>
  <c r="AD509" i="5" s="1"/>
  <c r="AC157" i="5"/>
  <c r="AD157" i="5" s="1"/>
  <c r="AC90" i="5"/>
  <c r="AE90" i="5" s="1"/>
  <c r="AC153" i="5"/>
  <c r="AD153" i="5" s="1"/>
  <c r="AC35" i="5"/>
  <c r="AD35" i="5" s="1"/>
  <c r="AC548" i="5"/>
  <c r="AE548" i="5" s="1"/>
  <c r="AC53" i="5"/>
  <c r="AE53" i="5" s="1"/>
  <c r="AA43" i="5"/>
  <c r="AA125" i="5"/>
  <c r="AC257" i="5"/>
  <c r="AS257" i="5" s="1"/>
  <c r="AT257" i="5" s="1"/>
  <c r="AC331" i="5"/>
  <c r="AS331" i="5" s="1"/>
  <c r="AC178" i="5"/>
  <c r="AD178" i="5" s="1"/>
  <c r="AC498" i="5"/>
  <c r="AS498" i="5" s="1"/>
  <c r="AC491" i="5"/>
  <c r="AS491" i="5" s="1"/>
  <c r="AC362" i="5"/>
  <c r="AS362" i="5" s="1"/>
  <c r="AC400" i="5"/>
  <c r="AE400" i="5" s="1"/>
  <c r="AC67" i="5"/>
  <c r="AE67" i="5" s="1"/>
  <c r="AC33" i="5"/>
  <c r="AS33" i="5" s="1"/>
  <c r="AC428" i="5"/>
  <c r="AE428" i="5" s="1"/>
  <c r="AC263" i="5"/>
  <c r="AD263" i="5" s="1"/>
  <c r="AB380" i="5"/>
  <c r="AA501" i="5"/>
  <c r="AB471" i="5"/>
  <c r="AB320" i="5"/>
  <c r="AA306" i="5"/>
  <c r="AC141" i="5"/>
  <c r="AD141" i="5" s="1"/>
  <c r="AC198" i="5"/>
  <c r="AD198" i="5" s="1"/>
  <c r="AC183" i="5"/>
  <c r="AS183" i="5" s="1"/>
  <c r="AC465" i="5"/>
  <c r="AS465" i="5" s="1"/>
  <c r="AA118" i="5"/>
  <c r="AB209" i="5"/>
  <c r="AA435" i="5"/>
  <c r="AC82" i="5"/>
  <c r="AE82" i="5" s="1"/>
  <c r="AC253" i="5"/>
  <c r="AS253" i="5" s="1"/>
  <c r="AC380" i="5"/>
  <c r="AS380" i="5" s="1"/>
  <c r="AC291" i="5"/>
  <c r="AE291" i="5" s="1"/>
  <c r="AC209" i="5"/>
  <c r="AD209" i="5" s="1"/>
  <c r="AC293" i="5"/>
  <c r="AE293" i="5" s="1"/>
  <c r="AC560" i="5"/>
  <c r="AE560" i="5" s="1"/>
  <c r="AC384" i="5"/>
  <c r="AD384" i="5" s="1"/>
  <c r="AC175" i="5"/>
  <c r="AS175" i="5" s="1"/>
  <c r="AT175" i="5" s="1"/>
  <c r="AC296" i="5"/>
  <c r="AS296" i="5" s="1"/>
  <c r="AC318" i="5"/>
  <c r="AD318" i="5" s="1"/>
  <c r="AC413" i="5"/>
  <c r="AS413" i="5" s="1"/>
  <c r="AB348" i="5"/>
  <c r="AA108" i="5"/>
  <c r="AC199" i="5"/>
  <c r="AD199" i="5" s="1"/>
  <c r="AA100" i="5"/>
  <c r="AC7" i="5"/>
  <c r="AS7" i="5" s="1"/>
  <c r="AC147" i="5"/>
  <c r="AS147" i="5" s="1"/>
  <c r="AU147" i="5" s="1"/>
  <c r="AC471" i="5"/>
  <c r="AS471" i="5" s="1"/>
  <c r="AC348" i="5"/>
  <c r="AS348" i="5" s="1"/>
  <c r="AC339" i="5"/>
  <c r="AS339" i="5" s="1"/>
  <c r="AC19" i="5"/>
  <c r="AD19" i="5" s="1"/>
  <c r="AC219" i="5"/>
  <c r="AE219" i="5" s="1"/>
  <c r="AC501" i="5"/>
  <c r="AD501" i="5" s="1"/>
  <c r="AC316" i="5"/>
  <c r="AE316" i="5" s="1"/>
  <c r="AB291" i="5"/>
  <c r="AA231" i="5"/>
  <c r="AB460" i="5"/>
  <c r="AA82" i="5"/>
  <c r="AA199" i="5"/>
  <c r="AB521" i="5"/>
  <c r="AA470" i="5"/>
  <c r="AC437" i="5"/>
  <c r="AD437" i="5" s="1"/>
  <c r="AC108" i="5"/>
  <c r="AD108" i="5" s="1"/>
  <c r="AC308" i="5"/>
  <c r="AD308" i="5" s="1"/>
  <c r="AC406" i="5"/>
  <c r="AD406" i="5" s="1"/>
  <c r="AC447" i="5"/>
  <c r="AD447" i="5" s="1"/>
  <c r="AC344" i="5"/>
  <c r="AD344" i="5" s="1"/>
  <c r="AC231" i="5"/>
  <c r="AD231" i="5" s="1"/>
  <c r="AC78" i="5"/>
  <c r="AS78" i="5" s="1"/>
  <c r="AT78" i="5" s="1"/>
  <c r="AB92" i="5"/>
  <c r="AC529" i="5"/>
  <c r="AE529" i="5" s="1"/>
  <c r="AC521" i="5"/>
  <c r="AS521" i="5" s="1"/>
  <c r="AC320" i="5"/>
  <c r="AE320" i="5" s="1"/>
  <c r="AC411" i="5"/>
  <c r="AE411" i="5" s="1"/>
  <c r="AC115" i="5"/>
  <c r="AD115" i="5" s="1"/>
  <c r="AM115" i="4"/>
  <c r="AN115" i="4" s="1"/>
  <c r="AM26" i="4"/>
  <c r="AN26" i="4" s="1"/>
  <c r="W26" i="4"/>
  <c r="AA409" i="5"/>
  <c r="AA414" i="5"/>
  <c r="AC321" i="5"/>
  <c r="AD321" i="5" s="1"/>
  <c r="AC410" i="5"/>
  <c r="AE410" i="5" s="1"/>
  <c r="AC480" i="5"/>
  <c r="AD480" i="5" s="1"/>
  <c r="AC135" i="5"/>
  <c r="AS135" i="5" s="1"/>
  <c r="AC420" i="5"/>
  <c r="AD420" i="5" s="1"/>
  <c r="AC559" i="5"/>
  <c r="AD559" i="5" s="1"/>
  <c r="AC436" i="5"/>
  <c r="AS436" i="5" s="1"/>
  <c r="AA66" i="5"/>
  <c r="AC182" i="5"/>
  <c r="AS182" i="5" s="1"/>
  <c r="AT182" i="5" s="1"/>
  <c r="AC20" i="5"/>
  <c r="AD20" i="5" s="1"/>
  <c r="AC45" i="5"/>
  <c r="AE45" i="5" s="1"/>
  <c r="AC201" i="5"/>
  <c r="AD201" i="5" s="1"/>
  <c r="AC102" i="5"/>
  <c r="AD102" i="5" s="1"/>
  <c r="AC323" i="5"/>
  <c r="AD323" i="5" s="1"/>
  <c r="AC66" i="5"/>
  <c r="AE66" i="5" s="1"/>
  <c r="AC528" i="5"/>
  <c r="AE528" i="5" s="1"/>
  <c r="AA369" i="5"/>
  <c r="AA317" i="5"/>
  <c r="AA410" i="5"/>
  <c r="AC204" i="5"/>
  <c r="AE204" i="5" s="1"/>
  <c r="AC506" i="5"/>
  <c r="AS506" i="5" s="1"/>
  <c r="AC409" i="5"/>
  <c r="AE409" i="5" s="1"/>
  <c r="AA282" i="5"/>
  <c r="AA506" i="5"/>
  <c r="AB135" i="5"/>
  <c r="AA201" i="5"/>
  <c r="AC272" i="5"/>
  <c r="AE272" i="5" s="1"/>
  <c r="AC414" i="5"/>
  <c r="AE414" i="5" s="1"/>
  <c r="AC81" i="5"/>
  <c r="AS81" i="5" s="1"/>
  <c r="AU81" i="5" s="1"/>
  <c r="AC387" i="5"/>
  <c r="AD387" i="5" s="1"/>
  <c r="AC266" i="5"/>
  <c r="AS266" i="5" s="1"/>
  <c r="AC282" i="5"/>
  <c r="AS282" i="5" s="1"/>
  <c r="AC72" i="5"/>
  <c r="AS72" i="5" s="1"/>
  <c r="AU72" i="5" s="1"/>
  <c r="AC558" i="5"/>
  <c r="AD558" i="5" s="1"/>
  <c r="AC317" i="5"/>
  <c r="AS317" i="5" s="1"/>
  <c r="AC240" i="5"/>
  <c r="AD240" i="5" s="1"/>
  <c r="AJ91" i="4"/>
  <c r="AL11" i="5"/>
  <c r="AE96" i="4"/>
  <c r="X96" i="4"/>
  <c r="AJ96" i="4" s="1"/>
  <c r="AJ77" i="4"/>
  <c r="AO9" i="5"/>
  <c r="W39" i="4"/>
  <c r="X39" i="4" s="1"/>
  <c r="AJ39" i="4" s="1"/>
  <c r="W72" i="4"/>
  <c r="Y72" i="4" s="1"/>
  <c r="Z72" i="4" s="1"/>
  <c r="AF72" i="4" s="1"/>
  <c r="AG72" i="4" s="1"/>
  <c r="AI72" i="4" s="1"/>
  <c r="Z149" i="4"/>
  <c r="AF149" i="4" s="1"/>
  <c r="AO149" i="4" s="1"/>
  <c r="W22" i="4"/>
  <c r="X22" i="4" s="1"/>
  <c r="AJ22" i="4" s="1"/>
  <c r="AE140" i="4"/>
  <c r="X140" i="4"/>
  <c r="AJ140" i="4" s="1"/>
  <c r="W109" i="4"/>
  <c r="X109" i="4" s="1"/>
  <c r="AJ109" i="4" s="1"/>
  <c r="Z42" i="4"/>
  <c r="AF42" i="4" s="1"/>
  <c r="W129" i="4"/>
  <c r="Y129" i="4" s="1"/>
  <c r="Z129" i="4" s="1"/>
  <c r="AF129" i="4" s="1"/>
  <c r="AP9" i="5"/>
  <c r="AR9" i="5" s="1"/>
  <c r="W148" i="4"/>
  <c r="X148" i="4" s="1"/>
  <c r="AJ148" i="4" s="1"/>
  <c r="AP11" i="5"/>
  <c r="AQ11" i="5" s="1"/>
  <c r="AM121" i="4"/>
  <c r="AN121" i="4" s="1"/>
  <c r="W67" i="4"/>
  <c r="Y67" i="4" s="1"/>
  <c r="Z67" i="4" s="1"/>
  <c r="AM59" i="4"/>
  <c r="AN59" i="4" s="1"/>
  <c r="W59" i="4"/>
  <c r="X59" i="4" s="1"/>
  <c r="AJ59" i="4" s="1"/>
  <c r="AM132" i="4"/>
  <c r="AN132" i="4" s="1"/>
  <c r="W132" i="4"/>
  <c r="AM83" i="4"/>
  <c r="AN83" i="4" s="1"/>
  <c r="W83" i="4"/>
  <c r="AM141" i="4"/>
  <c r="AN141" i="4" s="1"/>
  <c r="W141" i="4"/>
  <c r="AM62" i="4"/>
  <c r="AN62" i="4" s="1"/>
  <c r="W62" i="4"/>
  <c r="AM21" i="4"/>
  <c r="AN21" i="4" s="1"/>
  <c r="W21" i="4"/>
  <c r="AN84" i="4"/>
  <c r="AM79" i="4"/>
  <c r="AN79" i="4" s="1"/>
  <c r="W79" i="4"/>
  <c r="Y79" i="4" s="1"/>
  <c r="Z79" i="4" s="1"/>
  <c r="W24" i="4"/>
  <c r="AM24" i="4"/>
  <c r="AN24" i="4" s="1"/>
  <c r="X105" i="4"/>
  <c r="AJ105" i="4" s="1"/>
  <c r="Y105" i="4"/>
  <c r="Z105" i="4" s="1"/>
  <c r="AE105" i="4"/>
  <c r="AH105" i="4"/>
  <c r="AM133" i="4"/>
  <c r="AN133" i="4" s="1"/>
  <c r="W133" i="4"/>
  <c r="W155" i="4"/>
  <c r="AE155" i="4" s="1"/>
  <c r="AM155" i="4"/>
  <c r="AN155" i="4" s="1"/>
  <c r="AM101" i="4"/>
  <c r="AN101" i="4" s="1"/>
  <c r="W101" i="4"/>
  <c r="AM34" i="4"/>
  <c r="AN34" i="4" s="1"/>
  <c r="W34" i="4"/>
  <c r="AM130" i="4"/>
  <c r="AN130" i="4" s="1"/>
  <c r="W130" i="4"/>
  <c r="Z140" i="4"/>
  <c r="AN143" i="4"/>
  <c r="AM144" i="4"/>
  <c r="AN144" i="4" s="1"/>
  <c r="W144" i="4"/>
  <c r="AN140" i="4"/>
  <c r="W152" i="4"/>
  <c r="Y152" i="4" s="1"/>
  <c r="Z152" i="4" s="1"/>
  <c r="W94" i="4"/>
  <c r="AE94" i="4" s="1"/>
  <c r="AM94" i="4"/>
  <c r="AN94" i="4" s="1"/>
  <c r="AM58" i="4"/>
  <c r="AN58" i="4" s="1"/>
  <c r="W58" i="4"/>
  <c r="AH155" i="4"/>
  <c r="AM10" i="4"/>
  <c r="AN10" i="4" s="1"/>
  <c r="W10" i="4"/>
  <c r="Y91" i="4"/>
  <c r="Z91" i="4" s="1"/>
  <c r="AA91" i="4" s="1"/>
  <c r="AC91" i="4" s="1"/>
  <c r="AD91" i="4" s="1"/>
  <c r="AE143" i="4"/>
  <c r="AE91" i="4"/>
  <c r="R9" i="5"/>
  <c r="S9" i="5"/>
  <c r="X84" i="4"/>
  <c r="AJ84" i="4" s="1"/>
  <c r="AE84" i="4"/>
  <c r="Y84" i="4"/>
  <c r="Z84" i="4" s="1"/>
  <c r="AI9" i="5"/>
  <c r="AH9" i="5"/>
  <c r="V9" i="5"/>
  <c r="U9" i="5"/>
  <c r="Y9" i="5"/>
  <c r="X9" i="5"/>
  <c r="AF143" i="4"/>
  <c r="X143" i="4"/>
  <c r="AJ143" i="4" s="1"/>
  <c r="AE40" i="4"/>
  <c r="AA11" i="5"/>
  <c r="AI11" i="5"/>
  <c r="AH11" i="5"/>
  <c r="S11" i="5"/>
  <c r="R11" i="5"/>
  <c r="X11" i="5"/>
  <c r="Y11" i="5"/>
  <c r="AR327" i="5"/>
  <c r="AR436" i="5"/>
  <c r="AQ438" i="5"/>
  <c r="AQ420" i="5"/>
  <c r="AR381" i="5"/>
  <c r="AQ392" i="5"/>
  <c r="AR261" i="5"/>
  <c r="AR531" i="5"/>
  <c r="AQ259" i="5"/>
  <c r="AR103" i="5"/>
  <c r="AR533" i="5"/>
  <c r="AR274" i="5"/>
  <c r="AQ66" i="5"/>
  <c r="AR474" i="5"/>
  <c r="AQ140" i="5"/>
  <c r="AQ101" i="5"/>
  <c r="AQ487" i="5"/>
  <c r="AR278" i="5"/>
  <c r="AR337" i="5"/>
  <c r="AQ143" i="5"/>
  <c r="AR397" i="5"/>
  <c r="AR226" i="5"/>
  <c r="AR296" i="5"/>
  <c r="AE122" i="4"/>
  <c r="AB128" i="5"/>
  <c r="AA180" i="5"/>
  <c r="AA361" i="5"/>
  <c r="AA338" i="5"/>
  <c r="AB353" i="5"/>
  <c r="AC315" i="5"/>
  <c r="AE315" i="5" s="1"/>
  <c r="AA267" i="5"/>
  <c r="AA253" i="5"/>
  <c r="AB362" i="5"/>
  <c r="AC396" i="5"/>
  <c r="AE396" i="5" s="1"/>
  <c r="AA318" i="5"/>
  <c r="AB511" i="5"/>
  <c r="AC539" i="5"/>
  <c r="AD539" i="5" s="1"/>
  <c r="AB465" i="5"/>
  <c r="AC430" i="5"/>
  <c r="AD430" i="5" s="1"/>
  <c r="AA346" i="5"/>
  <c r="AA281" i="5"/>
  <c r="AC8" i="5"/>
  <c r="AE8" i="5" s="1"/>
  <c r="AA158" i="5"/>
  <c r="AB357" i="5"/>
  <c r="AC290" i="5"/>
  <c r="AS290" i="5" s="1"/>
  <c r="AC305" i="5"/>
  <c r="AS305" i="5" s="1"/>
  <c r="AB206" i="5"/>
  <c r="AB440" i="5"/>
  <c r="AC292" i="5"/>
  <c r="AD292" i="5" s="1"/>
  <c r="AB65" i="5"/>
  <c r="AB214" i="5"/>
  <c r="AB101" i="5"/>
  <c r="AB326" i="5"/>
  <c r="AB253" i="5"/>
  <c r="AB287" i="5"/>
  <c r="AA465" i="5"/>
  <c r="AA295" i="5"/>
  <c r="AC346" i="5"/>
  <c r="AD346" i="5" s="1"/>
  <c r="AA186" i="5"/>
  <c r="AB158" i="5"/>
  <c r="AC407" i="5"/>
  <c r="AD407" i="5" s="1"/>
  <c r="AC357" i="5"/>
  <c r="AE357" i="5" s="1"/>
  <c r="AA290" i="5"/>
  <c r="AA305" i="5"/>
  <c r="AA440" i="5"/>
  <c r="AB292" i="5"/>
  <c r="AA65" i="5"/>
  <c r="AB230" i="5"/>
  <c r="AC326" i="5"/>
  <c r="AD326" i="5" s="1"/>
  <c r="AA353" i="5"/>
  <c r="AB339" i="5"/>
  <c r="AC95" i="5"/>
  <c r="AE95" i="5" s="1"/>
  <c r="AB295" i="5"/>
  <c r="AB186" i="5"/>
  <c r="AA488" i="5"/>
  <c r="AA407" i="5"/>
  <c r="AA427" i="5"/>
  <c r="AA323" i="5"/>
  <c r="AC227" i="5"/>
  <c r="AD227" i="5" s="1"/>
  <c r="AC230" i="5"/>
  <c r="AD230" i="5" s="1"/>
  <c r="AA315" i="5"/>
  <c r="AA245" i="5"/>
  <c r="AC284" i="5"/>
  <c r="AS284" i="5" s="1"/>
  <c r="AC287" i="5"/>
  <c r="AE287" i="5" s="1"/>
  <c r="AC311" i="5"/>
  <c r="AS311" i="5" s="1"/>
  <c r="AC124" i="5"/>
  <c r="AD124" i="5" s="1"/>
  <c r="AA496" i="5"/>
  <c r="AB377" i="5"/>
  <c r="AB245" i="5"/>
  <c r="AC224" i="5"/>
  <c r="AD224" i="5" s="1"/>
  <c r="AA339" i="5"/>
  <c r="AA284" i="5"/>
  <c r="AA95" i="5"/>
  <c r="AA311" i="5"/>
  <c r="AA365" i="5"/>
  <c r="AA391" i="5"/>
  <c r="AC172" i="5"/>
  <c r="AD172" i="5" s="1"/>
  <c r="AB20" i="5"/>
  <c r="AB458" i="5"/>
  <c r="AA127" i="5"/>
  <c r="AA122" i="5"/>
  <c r="AB323" i="5"/>
  <c r="AB496" i="5"/>
  <c r="AA377" i="5"/>
  <c r="AA172" i="5"/>
  <c r="AA197" i="5"/>
  <c r="AB399" i="5"/>
  <c r="AA224" i="5"/>
  <c r="AB365" i="5"/>
  <c r="AC176" i="5"/>
  <c r="AS176" i="5" s="1"/>
  <c r="AE146" i="4"/>
  <c r="AC391" i="5"/>
  <c r="AD391" i="5" s="1"/>
  <c r="AC458" i="5"/>
  <c r="AE458" i="5" s="1"/>
  <c r="AB127" i="5"/>
  <c r="AB122" i="5"/>
  <c r="AC435" i="5"/>
  <c r="AE435" i="5" s="1"/>
  <c r="AA176" i="5"/>
  <c r="AA504" i="5"/>
  <c r="AB117" i="5"/>
  <c r="AB124" i="5"/>
  <c r="AA239" i="5"/>
  <c r="AB197" i="5"/>
  <c r="AB45" i="5"/>
  <c r="AC196" i="5"/>
  <c r="AD196" i="5" s="1"/>
  <c r="AA450" i="5"/>
  <c r="AA20" i="5"/>
  <c r="AC442" i="5"/>
  <c r="AD442" i="5" s="1"/>
  <c r="AA269" i="5"/>
  <c r="AB473" i="5"/>
  <c r="AB450" i="5"/>
  <c r="AB165" i="5"/>
  <c r="AB120" i="5"/>
  <c r="AA45" i="5"/>
  <c r="AC423" i="5"/>
  <c r="AD423" i="5" s="1"/>
  <c r="AC490" i="5"/>
  <c r="AD490" i="5" s="1"/>
  <c r="AC355" i="5"/>
  <c r="AD355" i="5" s="1"/>
  <c r="AF108" i="4"/>
  <c r="AG108" i="4" s="1"/>
  <c r="AI108" i="4" s="1"/>
  <c r="AA300" i="5"/>
  <c r="AE123" i="4"/>
  <c r="AB433" i="5"/>
  <c r="AA248" i="5"/>
  <c r="AA252" i="5"/>
  <c r="AA84" i="5"/>
  <c r="AA23" i="5"/>
  <c r="AB427" i="5"/>
  <c r="AA28" i="5"/>
  <c r="AA399" i="5"/>
  <c r="AA87" i="5"/>
  <c r="AA381" i="5"/>
  <c r="AA178" i="5"/>
  <c r="AC28" i="5"/>
  <c r="AE28" i="5" s="1"/>
  <c r="AB178" i="5"/>
  <c r="AA334" i="5"/>
  <c r="AC524" i="5"/>
  <c r="AS524" i="5" s="1"/>
  <c r="AB54" i="5"/>
  <c r="AB143" i="5"/>
  <c r="AB61" i="5"/>
  <c r="AB246" i="5"/>
  <c r="AA21" i="5"/>
  <c r="AA225" i="5"/>
  <c r="AA10" i="5"/>
  <c r="AB341" i="5"/>
  <c r="AB268" i="5"/>
  <c r="AA480" i="5"/>
  <c r="AA434" i="5"/>
  <c r="AA104" i="5"/>
  <c r="AB434" i="5"/>
  <c r="AB280" i="5"/>
  <c r="AB182" i="5"/>
  <c r="AA530" i="5"/>
  <c r="AB542" i="5"/>
  <c r="X40" i="4"/>
  <c r="AJ40" i="4" s="1"/>
  <c r="AE82" i="4"/>
  <c r="AB302" i="5"/>
  <c r="AA310" i="5"/>
  <c r="AB307" i="5"/>
  <c r="AB30" i="5"/>
  <c r="AC187" i="5"/>
  <c r="AS187" i="5" s="1"/>
  <c r="AC167" i="5"/>
  <c r="AS167" i="5" s="1"/>
  <c r="AB508" i="5"/>
  <c r="AC449" i="5"/>
  <c r="AS449" i="5" s="1"/>
  <c r="AB44" i="5"/>
  <c r="AB449" i="5"/>
  <c r="AE71" i="4"/>
  <c r="AB210" i="5"/>
  <c r="AB73" i="5"/>
  <c r="AB279" i="5"/>
  <c r="AB159" i="5"/>
  <c r="AE31" i="4"/>
  <c r="AB411" i="5"/>
  <c r="AA383" i="5"/>
  <c r="AA183" i="5"/>
  <c r="AC322" i="5"/>
  <c r="AE322" i="5" s="1"/>
  <c r="AB237" i="5"/>
  <c r="AA73" i="5"/>
  <c r="AA337" i="5"/>
  <c r="AC37" i="5"/>
  <c r="AS37" i="5" s="1"/>
  <c r="AA510" i="5"/>
  <c r="AA152" i="5"/>
  <c r="AC86" i="5"/>
  <c r="AE86" i="5" s="1"/>
  <c r="AA508" i="5"/>
  <c r="AA78" i="5"/>
  <c r="AC79" i="5"/>
  <c r="AD79" i="5" s="1"/>
  <c r="AA162" i="5"/>
  <c r="AB240" i="5"/>
  <c r="AA79" i="5"/>
  <c r="AB378" i="5"/>
  <c r="AB233" i="5"/>
  <c r="AC249" i="5"/>
  <c r="AE249" i="5" s="1"/>
  <c r="AB68" i="5"/>
  <c r="AA190" i="5"/>
  <c r="AA52" i="5"/>
  <c r="AA12" i="5"/>
  <c r="AC177" i="5"/>
  <c r="AD177" i="5" s="1"/>
  <c r="AC211" i="5"/>
  <c r="AE211" i="5" s="1"/>
  <c r="AA227" i="5"/>
  <c r="AA237" i="5"/>
  <c r="AA352" i="5"/>
  <c r="AC233" i="5"/>
  <c r="AE233" i="5" s="1"/>
  <c r="AB249" i="5"/>
  <c r="AA68" i="5"/>
  <c r="AA234" i="5"/>
  <c r="AA177" i="5"/>
  <c r="AB156" i="5"/>
  <c r="AB198" i="5"/>
  <c r="AC419" i="5"/>
  <c r="AD419" i="5" s="1"/>
  <c r="AB211" i="5"/>
  <c r="AB195" i="5"/>
  <c r="AB345" i="5"/>
  <c r="AA378" i="5"/>
  <c r="AC246" i="5"/>
  <c r="AD246" i="5" s="1"/>
  <c r="AB123" i="5"/>
  <c r="AB271" i="5"/>
  <c r="AA56" i="5"/>
  <c r="AC352" i="5"/>
  <c r="AD352" i="5" s="1"/>
  <c r="AC393" i="5"/>
  <c r="AE393" i="5" s="1"/>
  <c r="AB234" i="5"/>
  <c r="AA556" i="5"/>
  <c r="AC330" i="5"/>
  <c r="AE330" i="5" s="1"/>
  <c r="AC156" i="5"/>
  <c r="AD156" i="5" s="1"/>
  <c r="AA164" i="5"/>
  <c r="AB141" i="5"/>
  <c r="AB386" i="5"/>
  <c r="AC195" i="5"/>
  <c r="AE195" i="5" s="1"/>
  <c r="AA552" i="5"/>
  <c r="AA115" i="5"/>
  <c r="AA280" i="5"/>
  <c r="AC123" i="5"/>
  <c r="AS123" i="5" s="1"/>
  <c r="AC271" i="5"/>
  <c r="AD271" i="5" s="1"/>
  <c r="AC56" i="5"/>
  <c r="AE56" i="5" s="1"/>
  <c r="AC159" i="5"/>
  <c r="AS159" i="5" s="1"/>
  <c r="AB393" i="5"/>
  <c r="AA187" i="5"/>
  <c r="AC337" i="5"/>
  <c r="AS337" i="5" s="1"/>
  <c r="AB556" i="5"/>
  <c r="AA44" i="5"/>
  <c r="AB37" i="5"/>
  <c r="AA330" i="5"/>
  <c r="AA218" i="5"/>
  <c r="AB102" i="5"/>
  <c r="AA141" i="5"/>
  <c r="AA167" i="5"/>
  <c r="AA229" i="5"/>
  <c r="AB115" i="5"/>
  <c r="AB77" i="5"/>
  <c r="AB21" i="5"/>
  <c r="AB310" i="5"/>
  <c r="AB218" i="5"/>
  <c r="AA102" i="5"/>
  <c r="AB183" i="5"/>
  <c r="AC30" i="5"/>
  <c r="AD30" i="5" s="1"/>
  <c r="AB322" i="5"/>
  <c r="AC542" i="5"/>
  <c r="AE542" i="5" s="1"/>
  <c r="AB229" i="5"/>
  <c r="AE108" i="4"/>
  <c r="X123" i="4"/>
  <c r="AJ123" i="4" s="1"/>
  <c r="AC162" i="5"/>
  <c r="AD162" i="5" s="1"/>
  <c r="AC52" i="5"/>
  <c r="AD52" i="5" s="1"/>
  <c r="AC307" i="5"/>
  <c r="AE307" i="5" s="1"/>
  <c r="AA182" i="5"/>
  <c r="AC152" i="5"/>
  <c r="AD152" i="5" s="1"/>
  <c r="AA210" i="5"/>
  <c r="AC10" i="5"/>
  <c r="AD10" i="5" s="1"/>
  <c r="AA279" i="5"/>
  <c r="AC190" i="5"/>
  <c r="AD190" i="5" s="1"/>
  <c r="AC225" i="5"/>
  <c r="AE225" i="5" s="1"/>
  <c r="AC96" i="5"/>
  <c r="AE96" i="5" s="1"/>
  <c r="AA240" i="5"/>
  <c r="AC164" i="5"/>
  <c r="AE164" i="5" s="1"/>
  <c r="AB12" i="5"/>
  <c r="AB78" i="5"/>
  <c r="AC299" i="5"/>
  <c r="AD299" i="5" s="1"/>
  <c r="AE70" i="4"/>
  <c r="AA243" i="5"/>
  <c r="AB38" i="5"/>
  <c r="AC63" i="5"/>
  <c r="AS63" i="5" s="1"/>
  <c r="AB154" i="5"/>
  <c r="AB272" i="5"/>
  <c r="AA385" i="5"/>
  <c r="AA492" i="5"/>
  <c r="AA72" i="5"/>
  <c r="AB559" i="5"/>
  <c r="AC250" i="5"/>
  <c r="AD250" i="5" s="1"/>
  <c r="AC131" i="5"/>
  <c r="AD131" i="5" s="1"/>
  <c r="AC64" i="5"/>
  <c r="AD64" i="5" s="1"/>
  <c r="AB67" i="5"/>
  <c r="AB477" i="5"/>
  <c r="AB204" i="5"/>
  <c r="AC516" i="5"/>
  <c r="AE516" i="5" s="1"/>
  <c r="AC347" i="5"/>
  <c r="AS347" i="5" s="1"/>
  <c r="AB99" i="5"/>
  <c r="AC74" i="5"/>
  <c r="AS74" i="5" s="1"/>
  <c r="AC169" i="5"/>
  <c r="AE169" i="5" s="1"/>
  <c r="AB83" i="5"/>
  <c r="AC281" i="5"/>
  <c r="AE281" i="5" s="1"/>
  <c r="AC154" i="5"/>
  <c r="AD154" i="5" s="1"/>
  <c r="AA107" i="5"/>
  <c r="AC146" i="5"/>
  <c r="AS146" i="5" s="1"/>
  <c r="AC98" i="5"/>
  <c r="AD98" i="5" s="1"/>
  <c r="AA559" i="5"/>
  <c r="AB131" i="5"/>
  <c r="AA266" i="5"/>
  <c r="AA204" i="5"/>
  <c r="AC550" i="5"/>
  <c r="AD550" i="5" s="1"/>
  <c r="AA478" i="5"/>
  <c r="AA374" i="5"/>
  <c r="AC11" i="5"/>
  <c r="AA328" i="5"/>
  <c r="AC328" i="5"/>
  <c r="AD328" i="5" s="1"/>
  <c r="AC526" i="5"/>
  <c r="AD526" i="5" s="1"/>
  <c r="AA113" i="5"/>
  <c r="AA500" i="5"/>
  <c r="AA516" i="5"/>
  <c r="AA457" i="5"/>
  <c r="AA541" i="5"/>
  <c r="AB347" i="5"/>
  <c r="AA99" i="5"/>
  <c r="AC273" i="5"/>
  <c r="AE273" i="5" s="1"/>
  <c r="AB74" i="5"/>
  <c r="AA344" i="5"/>
  <c r="AA319" i="5"/>
  <c r="AC107" i="5"/>
  <c r="AD107" i="5" s="1"/>
  <c r="AA146" i="5"/>
  <c r="AB98" i="5"/>
  <c r="AB534" i="5"/>
  <c r="AC139" i="5"/>
  <c r="AE139" i="5" s="1"/>
  <c r="AB419" i="5"/>
  <c r="AC170" i="5"/>
  <c r="AS170" i="5" s="1"/>
  <c r="AB266" i="5"/>
  <c r="AA173" i="5"/>
  <c r="AB96" i="5"/>
  <c r="X102" i="4"/>
  <c r="AJ102" i="4" s="1"/>
  <c r="AC288" i="5"/>
  <c r="AS288" i="5" s="1"/>
  <c r="AB413" i="5"/>
  <c r="AC488" i="5"/>
  <c r="AS488" i="5" s="1"/>
  <c r="AB526" i="5"/>
  <c r="AB113" i="5"/>
  <c r="AB500" i="5"/>
  <c r="AA134" i="5"/>
  <c r="AC457" i="5"/>
  <c r="AD457" i="5" s="1"/>
  <c r="AC71" i="5"/>
  <c r="AE71" i="5" s="1"/>
  <c r="AB541" i="5"/>
  <c r="AE51" i="4"/>
  <c r="AA273" i="5"/>
  <c r="AB344" i="5"/>
  <c r="AC258" i="5"/>
  <c r="AS258" i="5" s="1"/>
  <c r="AC319" i="5"/>
  <c r="AS319" i="5" s="1"/>
  <c r="AB39" i="5"/>
  <c r="AA534" i="5"/>
  <c r="AA198" i="5"/>
  <c r="AB139" i="5"/>
  <c r="AA170" i="5"/>
  <c r="AA345" i="5"/>
  <c r="X9" i="4"/>
  <c r="AJ9" i="4" s="1"/>
  <c r="AC370" i="5"/>
  <c r="AS370" i="5" s="1"/>
  <c r="AB71" i="5"/>
  <c r="AE28" i="4"/>
  <c r="AC39" i="5"/>
  <c r="AE39" i="5" s="1"/>
  <c r="AA519" i="5"/>
  <c r="AB134" i="5"/>
  <c r="AB432" i="5"/>
  <c r="AC100" i="5"/>
  <c r="AS100" i="5" s="1"/>
  <c r="AA238" i="5"/>
  <c r="AA22" i="5"/>
  <c r="AE75" i="4"/>
  <c r="AC85" i="5"/>
  <c r="AS85" i="5" s="1"/>
  <c r="AC235" i="5"/>
  <c r="AE235" i="5" s="1"/>
  <c r="AA444" i="5"/>
  <c r="AC92" i="5"/>
  <c r="AE92" i="5" s="1"/>
  <c r="AC185" i="5"/>
  <c r="AD185" i="5" s="1"/>
  <c r="AA517" i="5"/>
  <c r="AA258" i="5"/>
  <c r="AB370" i="5"/>
  <c r="AC161" i="5"/>
  <c r="AS161" i="5" s="1"/>
  <c r="AA432" i="5"/>
  <c r="AB299" i="5"/>
  <c r="AB22" i="5"/>
  <c r="AB85" i="5"/>
  <c r="AA185" i="5"/>
  <c r="AB238" i="5"/>
  <c r="AA277" i="5"/>
  <c r="AB481" i="5"/>
  <c r="AE9" i="4"/>
  <c r="AG27" i="4"/>
  <c r="AI27" i="4" s="1"/>
  <c r="AO27" i="4"/>
  <c r="AO19" i="4"/>
  <c r="AG19" i="4"/>
  <c r="AI19" i="4" s="1"/>
  <c r="AO30" i="4"/>
  <c r="AG30" i="4"/>
  <c r="AI30" i="4" s="1"/>
  <c r="AB466" i="5"/>
  <c r="AC412" i="5"/>
  <c r="AD412" i="5" s="1"/>
  <c r="AB381" i="5"/>
  <c r="AA47" i="5"/>
  <c r="AC464" i="5"/>
  <c r="AS464" i="5" s="1"/>
  <c r="AB248" i="5"/>
  <c r="AA408" i="5"/>
  <c r="AA433" i="5"/>
  <c r="AA349" i="5"/>
  <c r="AB312" i="5"/>
  <c r="AB555" i="5"/>
  <c r="AB443" i="5"/>
  <c r="AA505" i="5"/>
  <c r="AA155" i="5"/>
  <c r="AA512" i="5"/>
  <c r="AC334" i="5"/>
  <c r="AE334" i="5" s="1"/>
  <c r="AA355" i="5"/>
  <c r="AA547" i="5"/>
  <c r="AB451" i="5"/>
  <c r="AB232" i="5"/>
  <c r="AA46" i="5"/>
  <c r="AA420" i="5"/>
  <c r="AB536" i="5"/>
  <c r="AA481" i="5"/>
  <c r="AR210" i="5"/>
  <c r="AQ291" i="5"/>
  <c r="AE63" i="4"/>
  <c r="Y63" i="4"/>
  <c r="Z63" i="4" s="1"/>
  <c r="X23" i="4"/>
  <c r="AJ23" i="4" s="1"/>
  <c r="Y23" i="4"/>
  <c r="Z23" i="4" s="1"/>
  <c r="AE23" i="4"/>
  <c r="AN10" i="5"/>
  <c r="AO10" i="5"/>
  <c r="AE52" i="4"/>
  <c r="X52" i="4"/>
  <c r="AJ52" i="4" s="1"/>
  <c r="Y52" i="4"/>
  <c r="Z52" i="4" s="1"/>
  <c r="AG71" i="4"/>
  <c r="AI71" i="4" s="1"/>
  <c r="AO71" i="4"/>
  <c r="AA466" i="5"/>
  <c r="AA483" i="5"/>
  <c r="AB483" i="5"/>
  <c r="AC84" i="5"/>
  <c r="AD84" i="5" s="1"/>
  <c r="AB412" i="5"/>
  <c r="AC252" i="5"/>
  <c r="AS252" i="5" s="1"/>
  <c r="AB349" i="5"/>
  <c r="AA555" i="5"/>
  <c r="AB505" i="5"/>
  <c r="AB512" i="5"/>
  <c r="AA490" i="5"/>
  <c r="AA451" i="5"/>
  <c r="AA232" i="5"/>
  <c r="AB46" i="5"/>
  <c r="AA520" i="5"/>
  <c r="AA536" i="5"/>
  <c r="Y103" i="4"/>
  <c r="Z103" i="4" s="1"/>
  <c r="AF103" i="4" s="1"/>
  <c r="AO103" i="4" s="1"/>
  <c r="AE103" i="4"/>
  <c r="X103" i="4"/>
  <c r="AJ103" i="4" s="1"/>
  <c r="Y95" i="4"/>
  <c r="Z95" i="4" s="1"/>
  <c r="AE95" i="4"/>
  <c r="X95" i="4"/>
  <c r="AJ95" i="4" s="1"/>
  <c r="U10" i="5"/>
  <c r="V10" i="5"/>
  <c r="AO9" i="4"/>
  <c r="AG9" i="4"/>
  <c r="AI9" i="4" s="1"/>
  <c r="AE126" i="4"/>
  <c r="Y126" i="4"/>
  <c r="Z126" i="4" s="1"/>
  <c r="AE64" i="4"/>
  <c r="Y64" i="4"/>
  <c r="Z64" i="4" s="1"/>
  <c r="AE27" i="4"/>
  <c r="X128" i="4"/>
  <c r="AJ128" i="4" s="1"/>
  <c r="Y128" i="4"/>
  <c r="Z128" i="4" s="1"/>
  <c r="AE128" i="4"/>
  <c r="Y69" i="4"/>
  <c r="Z69" i="4" s="1"/>
  <c r="X69" i="4"/>
  <c r="AJ69" i="4" s="1"/>
  <c r="AE69" i="4"/>
  <c r="X93" i="4"/>
  <c r="AJ93" i="4" s="1"/>
  <c r="AE93" i="4"/>
  <c r="Y93" i="4"/>
  <c r="Z93" i="4" s="1"/>
  <c r="X45" i="4"/>
  <c r="AJ45" i="4" s="1"/>
  <c r="Y45" i="4"/>
  <c r="Z45" i="4" s="1"/>
  <c r="AF45" i="4" s="1"/>
  <c r="AG45" i="4" s="1"/>
  <c r="AI45" i="4" s="1"/>
  <c r="AE45" i="4"/>
  <c r="AE150" i="4"/>
  <c r="Y150" i="4"/>
  <c r="Z150" i="4" s="1"/>
  <c r="X68" i="4"/>
  <c r="AJ68" i="4" s="1"/>
  <c r="AE68" i="4"/>
  <c r="Y68" i="4"/>
  <c r="Z68" i="4" s="1"/>
  <c r="AF68" i="4" s="1"/>
  <c r="AG68" i="4" s="1"/>
  <c r="AI68" i="4" s="1"/>
  <c r="AH10" i="5"/>
  <c r="AI10" i="5"/>
  <c r="AA89" i="5"/>
  <c r="AA308" i="5"/>
  <c r="AA58" i="5"/>
  <c r="AB493" i="5"/>
  <c r="AA423" i="5"/>
  <c r="AA454" i="5"/>
  <c r="AC358" i="5"/>
  <c r="AE358" i="5" s="1"/>
  <c r="AA418" i="5"/>
  <c r="AA395" i="5"/>
  <c r="AB474" i="5"/>
  <c r="AB524" i="5"/>
  <c r="AC527" i="5"/>
  <c r="AE527" i="5" s="1"/>
  <c r="AA489" i="5"/>
  <c r="AA193" i="5"/>
  <c r="AQ181" i="5"/>
  <c r="X38" i="4"/>
  <c r="AJ38" i="4" s="1"/>
  <c r="Y38" i="4"/>
  <c r="Z38" i="4" s="1"/>
  <c r="AE38" i="4"/>
  <c r="X134" i="4"/>
  <c r="AJ134" i="4" s="1"/>
  <c r="Y134" i="4"/>
  <c r="Z134" i="4" s="1"/>
  <c r="AE134" i="4"/>
  <c r="R10" i="5"/>
  <c r="S10" i="5"/>
  <c r="Y137" i="4"/>
  <c r="Z137" i="4" s="1"/>
  <c r="X137" i="4"/>
  <c r="AJ137" i="4" s="1"/>
  <c r="AE137" i="4"/>
  <c r="X44" i="4"/>
  <c r="AE44" i="4"/>
  <c r="AE111" i="4"/>
  <c r="X111" i="4"/>
  <c r="AJ111" i="4" s="1"/>
  <c r="X7" i="4"/>
  <c r="AJ7" i="4" s="1"/>
  <c r="Y7" i="4"/>
  <c r="Z7" i="4" s="1"/>
  <c r="AA286" i="5"/>
  <c r="AB300" i="5"/>
  <c r="AC286" i="5"/>
  <c r="AS286" i="5" s="1"/>
  <c r="AC467" i="5"/>
  <c r="AS467" i="5" s="1"/>
  <c r="AB342" i="5"/>
  <c r="AC89" i="5"/>
  <c r="AD89" i="5" s="1"/>
  <c r="AB439" i="5"/>
  <c r="AB308" i="5"/>
  <c r="AC535" i="5"/>
  <c r="AD535" i="5" s="1"/>
  <c r="AC144" i="5"/>
  <c r="AS144" i="5" s="1"/>
  <c r="AB58" i="5"/>
  <c r="AC397" i="5"/>
  <c r="AS397" i="5" s="1"/>
  <c r="AC493" i="5"/>
  <c r="AD493" i="5" s="1"/>
  <c r="AC454" i="5"/>
  <c r="AS454" i="5" s="1"/>
  <c r="AA324" i="5"/>
  <c r="AA358" i="5"/>
  <c r="AB147" i="5"/>
  <c r="AC418" i="5"/>
  <c r="AD418" i="5" s="1"/>
  <c r="AB395" i="5"/>
  <c r="AB558" i="5"/>
  <c r="AC474" i="5"/>
  <c r="AD474" i="5" s="1"/>
  <c r="AC373" i="5"/>
  <c r="AS373" i="5" s="1"/>
  <c r="AB527" i="5"/>
  <c r="AC489" i="5"/>
  <c r="AS489" i="5" s="1"/>
  <c r="AB446" i="5"/>
  <c r="AC448" i="5"/>
  <c r="AS448" i="5" s="1"/>
  <c r="AC340" i="5"/>
  <c r="AD340" i="5" s="1"/>
  <c r="AB144" i="5"/>
  <c r="AE54" i="4"/>
  <c r="Y54" i="4"/>
  <c r="Z54" i="4" s="1"/>
  <c r="X108" i="4"/>
  <c r="AE35" i="4"/>
  <c r="Y35" i="4"/>
  <c r="Z35" i="4" s="1"/>
  <c r="Y8" i="4"/>
  <c r="Z8" i="4" s="1"/>
  <c r="AE8" i="4"/>
  <c r="X8" i="4"/>
  <c r="AJ8" i="4" s="1"/>
  <c r="X27" i="4"/>
  <c r="AF44" i="4"/>
  <c r="X30" i="4"/>
  <c r="AJ30" i="4" s="1"/>
  <c r="X70" i="4"/>
  <c r="AE30" i="4"/>
  <c r="AB34" i="5"/>
  <c r="AA467" i="5"/>
  <c r="AA342" i="5"/>
  <c r="AB485" i="5"/>
  <c r="AC439" i="5"/>
  <c r="AE439" i="5" s="1"/>
  <c r="AB325" i="5"/>
  <c r="AB535" i="5"/>
  <c r="AC367" i="5"/>
  <c r="AE367" i="5" s="1"/>
  <c r="AA415" i="5"/>
  <c r="AA397" i="5"/>
  <c r="AC324" i="5"/>
  <c r="AS324" i="5" s="1"/>
  <c r="AA147" i="5"/>
  <c r="AA558" i="5"/>
  <c r="AB109" i="5"/>
  <c r="AA373" i="5"/>
  <c r="AA446" i="5"/>
  <c r="AB448" i="5"/>
  <c r="AA340" i="5"/>
  <c r="AR94" i="5"/>
  <c r="Y157" i="4"/>
  <c r="Z157" i="4" s="1"/>
  <c r="AE157" i="4"/>
  <c r="AE102" i="4"/>
  <c r="X19" i="4"/>
  <c r="AJ19" i="4" s="1"/>
  <c r="AA184" i="5"/>
  <c r="AC485" i="5"/>
  <c r="AS485" i="5" s="1"/>
  <c r="AA325" i="5"/>
  <c r="AC47" i="5"/>
  <c r="AE47" i="5" s="1"/>
  <c r="AB367" i="5"/>
  <c r="AC415" i="5"/>
  <c r="AE415" i="5" s="1"/>
  <c r="AB464" i="5"/>
  <c r="AC408" i="5"/>
  <c r="AS408" i="5" s="1"/>
  <c r="AC312" i="5"/>
  <c r="AS312" i="5" s="1"/>
  <c r="AC443" i="5"/>
  <c r="AE443" i="5" s="1"/>
  <c r="AC109" i="5"/>
  <c r="AS109" i="5" s="1"/>
  <c r="AC547" i="5"/>
  <c r="AE547" i="5" s="1"/>
  <c r="AE43" i="4"/>
  <c r="AA81" i="5"/>
  <c r="Y77" i="4"/>
  <c r="Z77" i="4" s="1"/>
  <c r="AE77" i="4"/>
  <c r="AE86" i="4"/>
  <c r="X86" i="4"/>
  <c r="AJ86" i="4" s="1"/>
  <c r="Y86" i="4"/>
  <c r="Z86" i="4" s="1"/>
  <c r="AE19" i="4"/>
  <c r="AB184" i="5"/>
  <c r="AB81" i="5"/>
  <c r="X63" i="4"/>
  <c r="AJ63" i="4" s="1"/>
  <c r="AF123" i="4"/>
  <c r="X10" i="5"/>
  <c r="Y10" i="5"/>
  <c r="Y116" i="4"/>
  <c r="Z116" i="4" s="1"/>
  <c r="AE116" i="4"/>
  <c r="X100" i="4"/>
  <c r="AJ100" i="4" s="1"/>
  <c r="AE100" i="4"/>
  <c r="Y100" i="4"/>
  <c r="Z100" i="4" s="1"/>
  <c r="X71" i="4"/>
  <c r="AJ71" i="4" s="1"/>
  <c r="AG40" i="4"/>
  <c r="AI40" i="4" s="1"/>
  <c r="AO40" i="4"/>
  <c r="X116" i="4"/>
  <c r="AC192" i="5"/>
  <c r="AS192" i="5" s="1"/>
  <c r="AB242" i="5"/>
  <c r="AC549" i="5"/>
  <c r="AD549" i="5" s="1"/>
  <c r="AA145" i="5"/>
  <c r="AB145" i="5"/>
  <c r="AC149" i="5"/>
  <c r="AS149" i="5" s="1"/>
  <c r="AA264" i="5"/>
  <c r="AA528" i="5"/>
  <c r="AB51" i="5"/>
  <c r="AA476" i="5"/>
  <c r="AA33" i="5"/>
  <c r="AC445" i="5"/>
  <c r="AS445" i="5" s="1"/>
  <c r="AA553" i="5"/>
  <c r="AB24" i="5"/>
  <c r="AA398" i="5"/>
  <c r="AC88" i="5"/>
  <c r="AE88" i="5" s="1"/>
  <c r="AC368" i="5"/>
  <c r="AD368" i="5" s="1"/>
  <c r="AB406" i="5"/>
  <c r="AA497" i="5"/>
  <c r="AA136" i="5"/>
  <c r="AC431" i="5"/>
  <c r="AD431" i="5" s="1"/>
  <c r="AC519" i="5"/>
  <c r="AD519" i="5" s="1"/>
  <c r="AB191" i="5"/>
  <c r="AC484" i="5"/>
  <c r="AS484" i="5" s="1"/>
  <c r="AC461" i="5"/>
  <c r="AS461" i="5" s="1"/>
  <c r="AC207" i="5"/>
  <c r="AD207" i="5" s="1"/>
  <c r="AB41" i="5"/>
  <c r="AC538" i="5"/>
  <c r="AS538" i="5" s="1"/>
  <c r="AB200" i="5"/>
  <c r="AA314" i="5"/>
  <c r="AC61" i="5"/>
  <c r="AD61" i="5" s="1"/>
  <c r="AB215" i="5"/>
  <c r="AC87" i="5"/>
  <c r="AS87" i="5" s="1"/>
  <c r="AA67" i="5"/>
  <c r="AA126" i="5"/>
  <c r="AB384" i="5"/>
  <c r="AC503" i="5"/>
  <c r="AE503" i="5" s="1"/>
  <c r="AB264" i="5"/>
  <c r="AA153" i="5"/>
  <c r="AB110" i="5"/>
  <c r="AB316" i="5"/>
  <c r="AB437" i="5"/>
  <c r="AA148" i="5"/>
  <c r="AB476" i="5"/>
  <c r="AB33" i="5"/>
  <c r="AA138" i="5"/>
  <c r="AB76" i="5"/>
  <c r="AA24" i="5"/>
  <c r="AB88" i="5"/>
  <c r="AC510" i="5"/>
  <c r="AD510" i="5" s="1"/>
  <c r="AC545" i="5"/>
  <c r="AD545" i="5" s="1"/>
  <c r="AB459" i="5"/>
  <c r="AB40" i="5"/>
  <c r="AC91" i="5"/>
  <c r="AS91" i="5" s="1"/>
  <c r="AB136" i="5"/>
  <c r="AC191" i="5"/>
  <c r="AE191" i="5" s="1"/>
  <c r="AA484" i="5"/>
  <c r="AA461" i="5"/>
  <c r="AA207" i="5"/>
  <c r="AC276" i="5"/>
  <c r="AD276" i="5" s="1"/>
  <c r="AA538" i="5"/>
  <c r="AB173" i="5"/>
  <c r="AB388" i="5"/>
  <c r="AB126" i="5"/>
  <c r="B112" i="2"/>
  <c r="B154" i="2" s="1"/>
  <c r="H40" i="1" s="1"/>
  <c r="AB9" i="5"/>
  <c r="AA9" i="5"/>
  <c r="AC9" i="5"/>
  <c r="AC118" i="5"/>
  <c r="AS118" i="5" s="1"/>
  <c r="AB219" i="5"/>
  <c r="AC212" i="5"/>
  <c r="AS212" i="5" s="1"/>
  <c r="AA503" i="5"/>
  <c r="AA549" i="5"/>
  <c r="AC531" i="5"/>
  <c r="AD531" i="5" s="1"/>
  <c r="AB350" i="5"/>
  <c r="AC487" i="5"/>
  <c r="AD487" i="5" s="1"/>
  <c r="AA422" i="5"/>
  <c r="AA482" i="5"/>
  <c r="AA468" i="5"/>
  <c r="AA479" i="5"/>
  <c r="AA518" i="5"/>
  <c r="AB530" i="5"/>
  <c r="AA515" i="5"/>
  <c r="AC256" i="5"/>
  <c r="AS256" i="5" s="1"/>
  <c r="AA531" i="5"/>
  <c r="AC557" i="5"/>
  <c r="AS557" i="5" s="1"/>
  <c r="AA364" i="5"/>
  <c r="AC372" i="5"/>
  <c r="AE372" i="5" s="1"/>
  <c r="AB479" i="5"/>
  <c r="AA192" i="5"/>
  <c r="AC242" i="5"/>
  <c r="AD242" i="5" s="1"/>
  <c r="AB507" i="5"/>
  <c r="AA75" i="5"/>
  <c r="AC130" i="5"/>
  <c r="AS130" i="5" s="1"/>
  <c r="AB557" i="5"/>
  <c r="AC554" i="5"/>
  <c r="AS554" i="5" s="1"/>
  <c r="AB216" i="5"/>
  <c r="AA35" i="5"/>
  <c r="AB482" i="5"/>
  <c r="AA250" i="5"/>
  <c r="AC364" i="5"/>
  <c r="AE364" i="5" s="1"/>
  <c r="AA57" i="5"/>
  <c r="AA372" i="5"/>
  <c r="AC389" i="5"/>
  <c r="AE389" i="5" s="1"/>
  <c r="AA212" i="5"/>
  <c r="AB285" i="5"/>
  <c r="AB389" i="5"/>
  <c r="AA285" i="5"/>
  <c r="AA257" i="5"/>
  <c r="AB528" i="5"/>
  <c r="AC507" i="5"/>
  <c r="AD507" i="5" s="1"/>
  <c r="AB75" i="5"/>
  <c r="AB130" i="5"/>
  <c r="AC51" i="5"/>
  <c r="AE51" i="5" s="1"/>
  <c r="AB554" i="5"/>
  <c r="AA216" i="5"/>
  <c r="AB398" i="5"/>
  <c r="B118" i="2"/>
  <c r="B99" i="2" s="1"/>
  <c r="B119" i="2" s="1"/>
  <c r="AB35" i="5"/>
  <c r="AC497" i="5"/>
  <c r="AE497" i="5" s="1"/>
  <c r="AC41" i="5"/>
  <c r="AD41" i="5" s="1"/>
  <c r="AC57" i="5"/>
  <c r="AD57" i="5" s="1"/>
  <c r="AC215" i="5"/>
  <c r="AS215" i="5" s="1"/>
  <c r="AB257" i="5"/>
  <c r="AA200" i="5"/>
  <c r="AE92" i="4"/>
  <c r="AE136" i="4"/>
  <c r="AE49" i="4"/>
  <c r="X99" i="4"/>
  <c r="AJ99" i="4" s="1"/>
  <c r="X74" i="4"/>
  <c r="AJ74" i="4" s="1"/>
  <c r="AE55" i="4"/>
  <c r="X151" i="4"/>
  <c r="AJ151" i="4" s="1"/>
  <c r="AE106" i="4"/>
  <c r="AE53" i="4"/>
  <c r="B115" i="2"/>
  <c r="B96" i="2" s="1"/>
  <c r="B116" i="2" s="1"/>
  <c r="X81" i="4"/>
  <c r="AJ81" i="4" s="1"/>
  <c r="AE87" i="4"/>
  <c r="X117" i="4"/>
  <c r="AJ117" i="4" s="1"/>
  <c r="X75" i="4"/>
  <c r="AJ75" i="4" s="1"/>
  <c r="AE147" i="4"/>
  <c r="X80" i="4"/>
  <c r="AJ80" i="4" s="1"/>
  <c r="X124" i="4"/>
  <c r="AJ124" i="4" s="1"/>
  <c r="X122" i="4"/>
  <c r="AJ122" i="4" s="1"/>
  <c r="AE114" i="4"/>
  <c r="AE50" i="4"/>
  <c r="AE13" i="4"/>
  <c r="X65" i="4"/>
  <c r="AJ65" i="4" s="1"/>
  <c r="X82" i="4"/>
  <c r="AJ82" i="4" s="1"/>
  <c r="X13" i="4"/>
  <c r="AJ13" i="4" s="1"/>
  <c r="AE36" i="4"/>
  <c r="AE89" i="4"/>
  <c r="X85" i="4"/>
  <c r="AJ85" i="4" s="1"/>
  <c r="X89" i="4"/>
  <c r="AJ89" i="4" s="1"/>
  <c r="AE120" i="4"/>
  <c r="X51" i="4"/>
  <c r="AJ51" i="4" s="1"/>
  <c r="AF17" i="4"/>
  <c r="AG17" i="4" s="1"/>
  <c r="AI17" i="4" s="1"/>
  <c r="AF139" i="4"/>
  <c r="AO139" i="4" s="1"/>
  <c r="AF97" i="4"/>
  <c r="AO97" i="4" s="1"/>
  <c r="AF114" i="4"/>
  <c r="AO114" i="4" s="1"/>
  <c r="X41" i="4"/>
  <c r="AK41" i="4" s="1"/>
  <c r="AE97" i="4"/>
  <c r="X153" i="4"/>
  <c r="AJ153" i="4" s="1"/>
  <c r="X92" i="4"/>
  <c r="AJ92" i="4" s="1"/>
  <c r="X114" i="4"/>
  <c r="AJ114" i="4" s="1"/>
  <c r="AE117" i="4"/>
  <c r="AE41" i="4"/>
  <c r="AE17" i="4"/>
  <c r="AE33" i="4"/>
  <c r="AE60" i="4"/>
  <c r="AE113" i="4"/>
  <c r="X104" i="4"/>
  <c r="AK104" i="4" s="1"/>
  <c r="X25" i="4"/>
  <c r="AK25" i="4" s="1"/>
  <c r="X138" i="4"/>
  <c r="AJ138" i="4" s="1"/>
  <c r="X55" i="4"/>
  <c r="AJ55" i="4" s="1"/>
  <c r="AE80" i="4"/>
  <c r="X97" i="4"/>
  <c r="AJ97" i="4" s="1"/>
  <c r="X120" i="4"/>
  <c r="AJ120" i="4" s="1"/>
  <c r="AA98" i="4"/>
  <c r="AC98" i="4" s="1"/>
  <c r="AD98" i="4" s="1"/>
  <c r="AE151" i="4"/>
  <c r="X136" i="4"/>
  <c r="AJ136" i="4" s="1"/>
  <c r="Z120" i="4"/>
  <c r="Z60" i="4"/>
  <c r="AF60" i="4" s="1"/>
  <c r="X17" i="4"/>
  <c r="AJ17" i="4" s="1"/>
  <c r="B76" i="2"/>
  <c r="X113" i="4"/>
  <c r="AJ113" i="4" s="1"/>
  <c r="AG98" i="4"/>
  <c r="AI98" i="4" s="1"/>
  <c r="AO98" i="4"/>
  <c r="AG151" i="4"/>
  <c r="AI151" i="4" s="1"/>
  <c r="AO151" i="4"/>
  <c r="AG89" i="4"/>
  <c r="AI89" i="4" s="1"/>
  <c r="AO89" i="4"/>
  <c r="AG25" i="4"/>
  <c r="AI25" i="4" s="1"/>
  <c r="AO25" i="4"/>
  <c r="AG82" i="4"/>
  <c r="AI82" i="4" s="1"/>
  <c r="AO82" i="4"/>
  <c r="AF11" i="4"/>
  <c r="AG78" i="4"/>
  <c r="AI78" i="4" s="1"/>
  <c r="AO78" i="4"/>
  <c r="AQ484" i="5"/>
  <c r="AR484" i="5"/>
  <c r="AQ500" i="5"/>
  <c r="AR500" i="5"/>
  <c r="AR347" i="5"/>
  <c r="AQ347" i="5"/>
  <c r="AQ341" i="5"/>
  <c r="AR341" i="5"/>
  <c r="AG106" i="4"/>
  <c r="AI106" i="4" s="1"/>
  <c r="AO106" i="4"/>
  <c r="AQ409" i="5"/>
  <c r="AR409" i="5"/>
  <c r="AR61" i="5"/>
  <c r="AQ61" i="5"/>
  <c r="B81" i="2"/>
  <c r="B82" i="2" s="1"/>
  <c r="H22" i="1" s="1"/>
  <c r="AR102" i="5"/>
  <c r="AQ102" i="5"/>
  <c r="AR120" i="5"/>
  <c r="AQ120" i="5"/>
  <c r="X32" i="4"/>
  <c r="AQ53" i="5"/>
  <c r="AR53" i="5"/>
  <c r="AR515" i="5"/>
  <c r="AQ515" i="5"/>
  <c r="AQ293" i="5"/>
  <c r="AR293" i="5"/>
  <c r="AR559" i="5"/>
  <c r="AQ559" i="5"/>
  <c r="AE131" i="4"/>
  <c r="AR8" i="5"/>
  <c r="AQ8" i="5"/>
  <c r="AQ223" i="5"/>
  <c r="AR223" i="5"/>
  <c r="AF156" i="4"/>
  <c r="AQ200" i="5"/>
  <c r="AR200" i="5"/>
  <c r="AQ519" i="5"/>
  <c r="AR519" i="5"/>
  <c r="AQ106" i="5"/>
  <c r="AR106" i="5"/>
  <c r="AQ289" i="5"/>
  <c r="AR289" i="5"/>
  <c r="AR235" i="5"/>
  <c r="AQ235" i="5"/>
  <c r="AQ343" i="5"/>
  <c r="AR343" i="5"/>
  <c r="AR456" i="5"/>
  <c r="AQ456" i="5"/>
  <c r="AQ96" i="5"/>
  <c r="AR96" i="5"/>
  <c r="X106" i="4"/>
  <c r="AA106" i="4" s="1"/>
  <c r="AC106" i="4" s="1"/>
  <c r="AD106" i="4" s="1"/>
  <c r="AQ203" i="5"/>
  <c r="AR203" i="5"/>
  <c r="AR553" i="5"/>
  <c r="AQ553" i="5"/>
  <c r="AR151" i="5"/>
  <c r="AQ151" i="5"/>
  <c r="AQ424" i="5"/>
  <c r="AR424" i="5"/>
  <c r="AQ464" i="5"/>
  <c r="AR464" i="5"/>
  <c r="AQ320" i="5"/>
  <c r="AR320" i="5"/>
  <c r="AQ504" i="5"/>
  <c r="AR504" i="5"/>
  <c r="AQ137" i="5"/>
  <c r="AR137" i="5"/>
  <c r="AQ393" i="5"/>
  <c r="AR393" i="5"/>
  <c r="AR391" i="5"/>
  <c r="AQ391" i="5"/>
  <c r="AR268" i="5"/>
  <c r="AQ268" i="5"/>
  <c r="AQ400" i="5"/>
  <c r="AR400" i="5"/>
  <c r="AF154" i="4"/>
  <c r="AE48" i="4"/>
  <c r="AR303" i="5"/>
  <c r="AQ303" i="5"/>
  <c r="AQ32" i="5"/>
  <c r="AR32" i="5"/>
  <c r="AR523" i="5"/>
  <c r="AQ523" i="5"/>
  <c r="AF13" i="4"/>
  <c r="AR242" i="5"/>
  <c r="AQ242" i="5"/>
  <c r="X119" i="4"/>
  <c r="AA119" i="4" s="1"/>
  <c r="AC119" i="4" s="1"/>
  <c r="AD119" i="4" s="1"/>
  <c r="X48" i="4"/>
  <c r="X49" i="4"/>
  <c r="AQ538" i="5"/>
  <c r="AR538" i="5"/>
  <c r="AQ505" i="5"/>
  <c r="AR505" i="5"/>
  <c r="AQ408" i="5"/>
  <c r="AR408" i="5"/>
  <c r="AQ468" i="5"/>
  <c r="AR468" i="5"/>
  <c r="AQ208" i="5"/>
  <c r="AR208" i="5"/>
  <c r="AE11" i="4"/>
  <c r="AR508" i="5"/>
  <c r="AQ508" i="5"/>
  <c r="AR532" i="5"/>
  <c r="AQ532" i="5"/>
  <c r="AR443" i="5"/>
  <c r="AQ443" i="5"/>
  <c r="AE153" i="4"/>
  <c r="AF33" i="4"/>
  <c r="AS371" i="5"/>
  <c r="AD371" i="5"/>
  <c r="AQ480" i="5"/>
  <c r="AR480" i="5"/>
  <c r="AR111" i="5"/>
  <c r="AQ111" i="5"/>
  <c r="AQ180" i="5"/>
  <c r="AR180" i="5"/>
  <c r="AR503" i="5"/>
  <c r="AQ503" i="5"/>
  <c r="AQ156" i="5"/>
  <c r="AR156" i="5"/>
  <c r="AR99" i="5"/>
  <c r="AQ99" i="5"/>
  <c r="AQ358" i="5"/>
  <c r="AR358" i="5"/>
  <c r="AQ439" i="5"/>
  <c r="AR439" i="5"/>
  <c r="AQ509" i="5"/>
  <c r="AR509" i="5"/>
  <c r="AQ230" i="5"/>
  <c r="AR230" i="5"/>
  <c r="AR115" i="5"/>
  <c r="AQ115" i="5"/>
  <c r="AQ256" i="5"/>
  <c r="AR256" i="5"/>
  <c r="AR546" i="5"/>
  <c r="AQ546" i="5"/>
  <c r="AQ207" i="5"/>
  <c r="AR207" i="5"/>
  <c r="AE90" i="4"/>
  <c r="AQ466" i="5"/>
  <c r="AR466" i="5"/>
  <c r="Y13" i="5"/>
  <c r="X13" i="5"/>
  <c r="AO112" i="4"/>
  <c r="AG112" i="4"/>
  <c r="AI112" i="4" s="1"/>
  <c r="AR265" i="5"/>
  <c r="AQ265" i="5"/>
  <c r="AR107" i="5"/>
  <c r="AQ107" i="5"/>
  <c r="AQ367" i="5"/>
  <c r="AR367" i="5"/>
  <c r="AR286" i="5"/>
  <c r="AQ286" i="5"/>
  <c r="AQ228" i="5"/>
  <c r="AR228" i="5"/>
  <c r="AR266" i="5"/>
  <c r="AQ266" i="5"/>
  <c r="AR248" i="5"/>
  <c r="AQ248" i="5"/>
  <c r="AR168" i="5"/>
  <c r="AQ168" i="5"/>
  <c r="AR427" i="5"/>
  <c r="AQ427" i="5"/>
  <c r="AG36" i="4"/>
  <c r="AI36" i="4" s="1"/>
  <c r="AO36" i="4"/>
  <c r="AQ399" i="5"/>
  <c r="AR399" i="5"/>
  <c r="AR164" i="5"/>
  <c r="AQ164" i="5"/>
  <c r="AQ329" i="5"/>
  <c r="AR329" i="5"/>
  <c r="AR63" i="5"/>
  <c r="AQ63" i="5"/>
  <c r="AR123" i="5"/>
  <c r="AQ123" i="5"/>
  <c r="AD206" i="5"/>
  <c r="AQ534" i="5"/>
  <c r="AR534" i="5"/>
  <c r="AR376" i="5"/>
  <c r="AQ376" i="5"/>
  <c r="AR28" i="5"/>
  <c r="AQ28" i="5"/>
  <c r="AQ526" i="5"/>
  <c r="AR526" i="5"/>
  <c r="AQ472" i="5"/>
  <c r="AR472" i="5"/>
  <c r="AR275" i="5"/>
  <c r="AQ275" i="5"/>
  <c r="AR198" i="5"/>
  <c r="AQ198" i="5"/>
  <c r="AG136" i="4"/>
  <c r="AI136" i="4" s="1"/>
  <c r="AO136" i="4"/>
  <c r="AQ482" i="5"/>
  <c r="AR482" i="5"/>
  <c r="AQ75" i="5"/>
  <c r="AR75" i="5"/>
  <c r="AQ170" i="5"/>
  <c r="AR170" i="5"/>
  <c r="AQ139" i="5"/>
  <c r="AR139" i="5"/>
  <c r="AG41" i="4"/>
  <c r="AI41" i="4" s="1"/>
  <c r="AO41" i="4"/>
  <c r="AQ529" i="5"/>
  <c r="AR529" i="5"/>
  <c r="AE115" i="4"/>
  <c r="AQ403" i="5"/>
  <c r="AR403" i="5"/>
  <c r="AR389" i="5"/>
  <c r="AQ389" i="5"/>
  <c r="AR352" i="5"/>
  <c r="AQ352" i="5"/>
  <c r="AR555" i="5"/>
  <c r="AQ555" i="5"/>
  <c r="AR366" i="5"/>
  <c r="AQ366" i="5"/>
  <c r="X156" i="4"/>
  <c r="AA156" i="4" s="1"/>
  <c r="AC156" i="4" s="1"/>
  <c r="AD156" i="4" s="1"/>
  <c r="AQ458" i="5"/>
  <c r="AR458" i="5"/>
  <c r="AQ297" i="5"/>
  <c r="AR297" i="5"/>
  <c r="AQ84" i="5"/>
  <c r="AR84" i="5"/>
  <c r="AQ249" i="5"/>
  <c r="AR249" i="5"/>
  <c r="AR27" i="5"/>
  <c r="AQ27" i="5"/>
  <c r="AQ271" i="5"/>
  <c r="AR271" i="5"/>
  <c r="X16" i="4"/>
  <c r="AJ16" i="4" s="1"/>
  <c r="AQ294" i="5"/>
  <c r="AR294" i="5"/>
  <c r="AE81" i="4"/>
  <c r="AR149" i="5"/>
  <c r="AQ149" i="5"/>
  <c r="AR197" i="5"/>
  <c r="AQ197" i="5"/>
  <c r="AR52" i="5"/>
  <c r="AQ52" i="5"/>
  <c r="AQ373" i="5"/>
  <c r="AR373" i="5"/>
  <c r="AQ469" i="5"/>
  <c r="AR469" i="5"/>
  <c r="AE29" i="4"/>
  <c r="AR253" i="5"/>
  <c r="AQ253" i="5"/>
  <c r="AR100" i="5"/>
  <c r="AQ100" i="5"/>
  <c r="AL13" i="5"/>
  <c r="AK13" i="5"/>
  <c r="AQ76" i="5"/>
  <c r="AR76" i="5"/>
  <c r="AF153" i="4"/>
  <c r="AR224" i="5"/>
  <c r="AQ224" i="5"/>
  <c r="AQ55" i="5"/>
  <c r="AR55" i="5"/>
  <c r="AQ336" i="5"/>
  <c r="AR336" i="5"/>
  <c r="AR288" i="5"/>
  <c r="AQ288" i="5"/>
  <c r="AF50" i="4"/>
  <c r="AE107" i="4"/>
  <c r="AR85" i="5"/>
  <c r="AQ85" i="5"/>
  <c r="AR501" i="5"/>
  <c r="AQ501" i="5"/>
  <c r="X53" i="4"/>
  <c r="AA53" i="4" s="1"/>
  <c r="AC53" i="4" s="1"/>
  <c r="AD53" i="4" s="1"/>
  <c r="AQ251" i="5"/>
  <c r="AR251" i="5"/>
  <c r="AQ236" i="5"/>
  <c r="AR236" i="5"/>
  <c r="AR243" i="5"/>
  <c r="AQ243" i="5"/>
  <c r="AR471" i="5"/>
  <c r="AQ471" i="5"/>
  <c r="AQ435" i="5"/>
  <c r="AR435" i="5"/>
  <c r="AQ213" i="5"/>
  <c r="AR213" i="5"/>
  <c r="AQ513" i="5"/>
  <c r="AR513" i="5"/>
  <c r="AE32" i="4"/>
  <c r="AR334" i="5"/>
  <c r="AQ334" i="5"/>
  <c r="AQ395" i="5"/>
  <c r="AR395" i="5"/>
  <c r="AO13" i="5"/>
  <c r="AN13" i="5"/>
  <c r="AQ323" i="5"/>
  <c r="AR323" i="5"/>
  <c r="AO53" i="4"/>
  <c r="AG53" i="4"/>
  <c r="AI53" i="4" s="1"/>
  <c r="AR292" i="5"/>
  <c r="AQ292" i="5"/>
  <c r="AQ499" i="5"/>
  <c r="AR499" i="5"/>
  <c r="Z32" i="4"/>
  <c r="AQ33" i="5"/>
  <c r="AR33" i="5"/>
  <c r="AR331" i="5"/>
  <c r="AQ331" i="5"/>
  <c r="AQ537" i="5"/>
  <c r="AR537" i="5"/>
  <c r="AQ91" i="5"/>
  <c r="AR91" i="5"/>
  <c r="AQ161" i="5"/>
  <c r="AR161" i="5"/>
  <c r="AQ163" i="5"/>
  <c r="AR163" i="5"/>
  <c r="AQ272" i="5"/>
  <c r="AR272" i="5"/>
  <c r="AR31" i="5"/>
  <c r="AQ31" i="5"/>
  <c r="AQ349" i="5"/>
  <c r="AR349" i="5"/>
  <c r="AQ206" i="5"/>
  <c r="AR206" i="5"/>
  <c r="AR425" i="5"/>
  <c r="AQ425" i="5"/>
  <c r="AQ195" i="5"/>
  <c r="AR195" i="5"/>
  <c r="AQ29" i="5"/>
  <c r="AR29" i="5"/>
  <c r="AR108" i="5"/>
  <c r="AQ108" i="5"/>
  <c r="AR41" i="5"/>
  <c r="AQ41" i="5"/>
  <c r="AF56" i="4"/>
  <c r="X110" i="4"/>
  <c r="AA110" i="4" s="1"/>
  <c r="AC110" i="4" s="1"/>
  <c r="AD110" i="4" s="1"/>
  <c r="X121" i="4"/>
  <c r="AA121" i="4" s="1"/>
  <c r="AC121" i="4" s="1"/>
  <c r="AD121" i="4" s="1"/>
  <c r="X115" i="4"/>
  <c r="AF107" i="4"/>
  <c r="AR449" i="5"/>
  <c r="AQ449" i="5"/>
  <c r="AQ473" i="5"/>
  <c r="AR473" i="5"/>
  <c r="AQ136" i="5"/>
  <c r="AR136" i="5"/>
  <c r="AQ441" i="5"/>
  <c r="AR441" i="5"/>
  <c r="AQ361" i="5"/>
  <c r="AR361" i="5"/>
  <c r="AQ430" i="5"/>
  <c r="AR430" i="5"/>
  <c r="AR113" i="5"/>
  <c r="AQ113" i="5"/>
  <c r="AR240" i="5"/>
  <c r="AQ240" i="5"/>
  <c r="AQ285" i="5"/>
  <c r="AR285" i="5"/>
  <c r="AQ263" i="5"/>
  <c r="AR263" i="5"/>
  <c r="AR154" i="5"/>
  <c r="AQ154" i="5"/>
  <c r="AQ124" i="5"/>
  <c r="AR124" i="5"/>
  <c r="X11" i="4"/>
  <c r="AJ11" i="4" s="1"/>
  <c r="AR40" i="5"/>
  <c r="AQ40" i="5"/>
  <c r="Z131" i="4"/>
  <c r="AF131" i="4" s="1"/>
  <c r="AR363" i="5"/>
  <c r="AQ363" i="5"/>
  <c r="AB13" i="5"/>
  <c r="AA13" i="5"/>
  <c r="AQ549" i="5"/>
  <c r="AR549" i="5"/>
  <c r="X146" i="4"/>
  <c r="AA146" i="4" s="1"/>
  <c r="AC146" i="4" s="1"/>
  <c r="AD146" i="4" s="1"/>
  <c r="AE104" i="4"/>
  <c r="AQ446" i="5"/>
  <c r="AR446" i="5"/>
  <c r="AR543" i="5"/>
  <c r="AQ543" i="5"/>
  <c r="AF138" i="4"/>
  <c r="AF122" i="4"/>
  <c r="AE124" i="4"/>
  <c r="AQ414" i="5"/>
  <c r="AR414" i="5"/>
  <c r="AQ407" i="5"/>
  <c r="AR407" i="5"/>
  <c r="AR215" i="5"/>
  <c r="AQ215" i="5"/>
  <c r="AE154" i="4"/>
  <c r="AQ431" i="5"/>
  <c r="AR431" i="5"/>
  <c r="AR7" i="5"/>
  <c r="AQ7" i="5"/>
  <c r="Z90" i="4"/>
  <c r="AF90" i="4" s="1"/>
  <c r="AR369" i="5"/>
  <c r="AQ369" i="5"/>
  <c r="AR177" i="5"/>
  <c r="AQ177" i="5"/>
  <c r="AR46" i="5"/>
  <c r="AQ46" i="5"/>
  <c r="AR80" i="5"/>
  <c r="AQ80" i="5"/>
  <c r="AQ362" i="5"/>
  <c r="AR362" i="5"/>
  <c r="AE65" i="4"/>
  <c r="AR411" i="5"/>
  <c r="AQ411" i="5"/>
  <c r="AQ97" i="5"/>
  <c r="AR97" i="5"/>
  <c r="AQ90" i="5"/>
  <c r="AR90" i="5"/>
  <c r="AQ19" i="5"/>
  <c r="AR19" i="5"/>
  <c r="AR308" i="5"/>
  <c r="AQ308" i="5"/>
  <c r="AQ188" i="5"/>
  <c r="AR188" i="5"/>
  <c r="AE110" i="4"/>
  <c r="AR121" i="5"/>
  <c r="AQ121" i="5"/>
  <c r="AQ241" i="5"/>
  <c r="AR241" i="5"/>
  <c r="X42" i="4"/>
  <c r="AQ311" i="5"/>
  <c r="AR311" i="5"/>
  <c r="AR193" i="5"/>
  <c r="AQ193" i="5"/>
  <c r="AQ445" i="5"/>
  <c r="AR445" i="5"/>
  <c r="S13" i="5"/>
  <c r="R13" i="5"/>
  <c r="AD522" i="5"/>
  <c r="AS522" i="5"/>
  <c r="AE522" i="5"/>
  <c r="AQ269" i="5"/>
  <c r="AR269" i="5"/>
  <c r="AQ209" i="5"/>
  <c r="AR209" i="5"/>
  <c r="AQ433" i="5"/>
  <c r="AR433" i="5"/>
  <c r="AQ412" i="5"/>
  <c r="AR412" i="5"/>
  <c r="Z48" i="4"/>
  <c r="AF48" i="4" s="1"/>
  <c r="AR12" i="5"/>
  <c r="AQ12" i="5"/>
  <c r="AQ322" i="5"/>
  <c r="AR322" i="5"/>
  <c r="AR514" i="5"/>
  <c r="AQ514" i="5"/>
  <c r="AS525" i="5"/>
  <c r="AE112" i="4"/>
  <c r="AE78" i="4"/>
  <c r="AF55" i="4"/>
  <c r="Z113" i="4"/>
  <c r="AF113" i="4" s="1"/>
  <c r="AR152" i="5"/>
  <c r="AQ152" i="5"/>
  <c r="AQ95" i="5"/>
  <c r="AR95" i="5"/>
  <c r="AR479" i="5"/>
  <c r="AQ479" i="5"/>
  <c r="AQ502" i="5"/>
  <c r="AR502" i="5"/>
  <c r="AQ518" i="5"/>
  <c r="AR518" i="5"/>
  <c r="AQ167" i="5"/>
  <c r="AR167" i="5"/>
  <c r="AE42" i="4"/>
  <c r="AF28" i="4"/>
  <c r="AQ442" i="5"/>
  <c r="AR442" i="5"/>
  <c r="AQ59" i="5"/>
  <c r="AR59" i="5"/>
  <c r="AR277" i="5"/>
  <c r="AQ277" i="5"/>
  <c r="AD523" i="5"/>
  <c r="AQ221" i="5"/>
  <c r="AR221" i="5"/>
  <c r="AQ310" i="5"/>
  <c r="AR310" i="5"/>
  <c r="AQ204" i="5"/>
  <c r="AR204" i="5"/>
  <c r="AR375" i="5"/>
  <c r="AQ375" i="5"/>
  <c r="AR507" i="5"/>
  <c r="AQ507" i="5"/>
  <c r="AQ191" i="5"/>
  <c r="AR191" i="5"/>
  <c r="AR298" i="5"/>
  <c r="AQ298" i="5"/>
  <c r="AQ357" i="5"/>
  <c r="AR357" i="5"/>
  <c r="AR309" i="5"/>
  <c r="AQ309" i="5"/>
  <c r="AQ478" i="5"/>
  <c r="AR478" i="5"/>
  <c r="AR89" i="5"/>
  <c r="AQ89" i="5"/>
  <c r="AR174" i="5"/>
  <c r="AQ174" i="5"/>
  <c r="AE56" i="4"/>
  <c r="AR385" i="5"/>
  <c r="AQ385" i="5"/>
  <c r="AR342" i="5"/>
  <c r="AQ342" i="5"/>
  <c r="AR186" i="5"/>
  <c r="AQ186" i="5"/>
  <c r="AQ282" i="5"/>
  <c r="AR282" i="5"/>
  <c r="AR57" i="5"/>
  <c r="AQ57" i="5"/>
  <c r="AQ440" i="5"/>
  <c r="AR440" i="5"/>
  <c r="AE88" i="4"/>
  <c r="AQ264" i="5"/>
  <c r="AR264" i="5"/>
  <c r="AQ467" i="5"/>
  <c r="AR467" i="5"/>
  <c r="AR162" i="5"/>
  <c r="AQ162" i="5"/>
  <c r="AQ419" i="5"/>
  <c r="AR419" i="5"/>
  <c r="AF121" i="4"/>
  <c r="AF88" i="4"/>
  <c r="AE16" i="4"/>
  <c r="AR295" i="5"/>
  <c r="AQ295" i="5"/>
  <c r="X139" i="4"/>
  <c r="AA139" i="4" s="1"/>
  <c r="AC139" i="4" s="1"/>
  <c r="AD139" i="4" s="1"/>
  <c r="X107" i="4"/>
  <c r="AA107" i="4" s="1"/>
  <c r="AC107" i="4" s="1"/>
  <c r="AD107" i="4" s="1"/>
  <c r="X29" i="4"/>
  <c r="X60" i="4"/>
  <c r="AR116" i="5"/>
  <c r="AQ116" i="5"/>
  <c r="AR145" i="5"/>
  <c r="AQ145" i="5"/>
  <c r="AQ453" i="5"/>
  <c r="AR453" i="5"/>
  <c r="AQ220" i="5"/>
  <c r="AR220" i="5"/>
  <c r="AQ279" i="5"/>
  <c r="AR279" i="5"/>
  <c r="X147" i="4"/>
  <c r="AA147" i="4" s="1"/>
  <c r="AC147" i="4" s="1"/>
  <c r="AD147" i="4" s="1"/>
  <c r="AR128" i="5"/>
  <c r="AQ128" i="5"/>
  <c r="AQ415" i="5"/>
  <c r="AR415" i="5"/>
  <c r="AD265" i="5"/>
  <c r="X87" i="4"/>
  <c r="AQ328" i="5"/>
  <c r="AR328" i="5"/>
  <c r="AQ160" i="5"/>
  <c r="AR160" i="5"/>
  <c r="AH13" i="5"/>
  <c r="AP13" i="5"/>
  <c r="AI13" i="5"/>
  <c r="AQ475" i="5"/>
  <c r="AR475" i="5"/>
  <c r="AE119" i="4"/>
  <c r="AQ423" i="5"/>
  <c r="AR423" i="5"/>
  <c r="X154" i="4"/>
  <c r="AA154" i="4" s="1"/>
  <c r="AC154" i="4" s="1"/>
  <c r="AD154" i="4" s="1"/>
  <c r="AF146" i="4"/>
  <c r="X149" i="4"/>
  <c r="AQ35" i="5"/>
  <c r="AR35" i="5"/>
  <c r="AR155" i="5"/>
  <c r="AQ155" i="5"/>
  <c r="AQ351" i="5"/>
  <c r="AR351" i="5"/>
  <c r="AR114" i="5"/>
  <c r="AQ114" i="5"/>
  <c r="AR179" i="5"/>
  <c r="AQ179" i="5"/>
  <c r="AQ344" i="5"/>
  <c r="AR344" i="5"/>
  <c r="X78" i="4"/>
  <c r="AA78" i="4" s="1"/>
  <c r="AC78" i="4" s="1"/>
  <c r="AD78" i="4" s="1"/>
  <c r="X50" i="4"/>
  <c r="AA50" i="4" s="1"/>
  <c r="AC50" i="4" s="1"/>
  <c r="AD50" i="4" s="1"/>
  <c r="AE149" i="4"/>
  <c r="AQ459" i="5"/>
  <c r="AR459" i="5"/>
  <c r="AR172" i="5"/>
  <c r="AQ172" i="5"/>
  <c r="AR315" i="5"/>
  <c r="AQ315" i="5"/>
  <c r="AR196" i="5"/>
  <c r="AQ196" i="5"/>
  <c r="AQ325" i="5"/>
  <c r="AR325" i="5"/>
  <c r="AQ452" i="5"/>
  <c r="AR452" i="5"/>
  <c r="AR353" i="5"/>
  <c r="AQ353" i="5"/>
  <c r="AE139" i="4"/>
  <c r="AR68" i="5"/>
  <c r="AQ68" i="5"/>
  <c r="AQ62" i="5"/>
  <c r="AR62" i="5"/>
  <c r="AE99" i="4"/>
  <c r="X33" i="4"/>
  <c r="AA33" i="4" s="1"/>
  <c r="AC33" i="4" s="1"/>
  <c r="AD33" i="4" s="1"/>
  <c r="AQ299" i="5"/>
  <c r="AR299" i="5"/>
  <c r="AQ171" i="5"/>
  <c r="AR171" i="5"/>
  <c r="AG31" i="4"/>
  <c r="AI31" i="4" s="1"/>
  <c r="AO31" i="4"/>
  <c r="AR246" i="5"/>
  <c r="AQ246" i="5"/>
  <c r="AQ183" i="5"/>
  <c r="AR183" i="5"/>
  <c r="AR125" i="5"/>
  <c r="AQ125" i="5"/>
  <c r="AQ50" i="5"/>
  <c r="AR50" i="5"/>
  <c r="AQ67" i="5"/>
  <c r="AR67" i="5"/>
  <c r="AQ74" i="5"/>
  <c r="AR74" i="5"/>
  <c r="AQ132" i="5"/>
  <c r="AR132" i="5"/>
  <c r="AF110" i="4"/>
  <c r="AQ455" i="5"/>
  <c r="AR455" i="5"/>
  <c r="AR83" i="5"/>
  <c r="AQ83" i="5"/>
  <c r="AQ316" i="5"/>
  <c r="AR316" i="5"/>
  <c r="AQ490" i="5"/>
  <c r="AR490" i="5"/>
  <c r="AJ98" i="4"/>
  <c r="AK98" i="4"/>
  <c r="AE121" i="4"/>
  <c r="AR421" i="5"/>
  <c r="AQ421" i="5"/>
  <c r="AQ231" i="5"/>
  <c r="AR231" i="5"/>
  <c r="AR317" i="5"/>
  <c r="AQ317" i="5"/>
  <c r="AR319" i="5"/>
  <c r="AQ319" i="5"/>
  <c r="X56" i="4"/>
  <c r="AA56" i="4" s="1"/>
  <c r="AC56" i="4" s="1"/>
  <c r="AD56" i="4" s="1"/>
  <c r="X88" i="4"/>
  <c r="AA88" i="4" s="1"/>
  <c r="AC88" i="4" s="1"/>
  <c r="AD88" i="4" s="1"/>
  <c r="AQ280" i="5"/>
  <c r="AR280" i="5"/>
  <c r="AF104" i="4"/>
  <c r="AQ36" i="5"/>
  <c r="AR36" i="5"/>
  <c r="AR550" i="5"/>
  <c r="AQ550" i="5"/>
  <c r="AQ401" i="5"/>
  <c r="AR401" i="5"/>
  <c r="AR150" i="5"/>
  <c r="AQ150" i="5"/>
  <c r="AQ122" i="5"/>
  <c r="AR122" i="5"/>
  <c r="X31" i="4"/>
  <c r="AA31" i="4" s="1"/>
  <c r="AC31" i="4" s="1"/>
  <c r="AD31" i="4" s="1"/>
  <c r="AF147" i="4"/>
  <c r="AQ339" i="5"/>
  <c r="AR339" i="5"/>
  <c r="AQ254" i="5"/>
  <c r="AR254" i="5"/>
  <c r="AR547" i="5"/>
  <c r="AQ547" i="5"/>
  <c r="AR413" i="5"/>
  <c r="AQ413" i="5"/>
  <c r="AQ511" i="5"/>
  <c r="AR511" i="5"/>
  <c r="AR10" i="5"/>
  <c r="AQ10" i="5"/>
  <c r="AF124" i="4"/>
  <c r="X131" i="4"/>
  <c r="AQ481" i="5"/>
  <c r="AR481" i="5"/>
  <c r="U13" i="5"/>
  <c r="V13" i="5"/>
  <c r="AC13" i="5"/>
  <c r="AR247" i="5"/>
  <c r="AQ247" i="5"/>
  <c r="AR86" i="5"/>
  <c r="AQ86" i="5"/>
  <c r="AR98" i="5"/>
  <c r="AQ98" i="5"/>
  <c r="AQ201" i="5"/>
  <c r="AR201" i="5"/>
  <c r="AE138" i="4"/>
  <c r="AF65" i="4"/>
  <c r="X112" i="4"/>
  <c r="AA112" i="4" s="1"/>
  <c r="AC112" i="4" s="1"/>
  <c r="AD112" i="4" s="1"/>
  <c r="AF99" i="4"/>
  <c r="AE156" i="4"/>
  <c r="H34" i="1"/>
  <c r="B145" i="2"/>
  <c r="H35" i="1" s="1"/>
  <c r="AQ60" i="5"/>
  <c r="AR60" i="5"/>
  <c r="AQ429" i="5"/>
  <c r="AR429" i="5"/>
  <c r="AR377" i="5"/>
  <c r="AQ377" i="5"/>
  <c r="AQ554" i="5"/>
  <c r="AR554" i="5"/>
  <c r="X36" i="4"/>
  <c r="AA36" i="4" s="1"/>
  <c r="AC36" i="4" s="1"/>
  <c r="AD36" i="4" s="1"/>
  <c r="AF119" i="4"/>
  <c r="AQ489" i="5"/>
  <c r="AR489" i="5"/>
  <c r="AQ541" i="5"/>
  <c r="AR541" i="5"/>
  <c r="AR88" i="5"/>
  <c r="AQ88" i="5"/>
  <c r="AQ305" i="5"/>
  <c r="AR305" i="5"/>
  <c r="AF92" i="4"/>
  <c r="AR44" i="5"/>
  <c r="AQ44" i="5"/>
  <c r="AR39" i="5"/>
  <c r="AQ39" i="5"/>
  <c r="AQ73" i="5"/>
  <c r="AR73" i="5"/>
  <c r="AQ374" i="5"/>
  <c r="AR374" i="5"/>
  <c r="AE25" i="4"/>
  <c r="AE74" i="4"/>
  <c r="AQ416" i="5"/>
  <c r="AR416" i="5"/>
  <c r="X90" i="4"/>
  <c r="X43" i="4"/>
  <c r="AQ388" i="5"/>
  <c r="AR388" i="5"/>
  <c r="AR185" i="5"/>
  <c r="AQ185" i="5"/>
  <c r="AR49" i="5"/>
  <c r="AQ49" i="5"/>
  <c r="AR71" i="5"/>
  <c r="AQ71" i="5"/>
  <c r="X28" i="4"/>
  <c r="AA28" i="4" s="1"/>
  <c r="AC28" i="4" s="1"/>
  <c r="AD28" i="4" s="1"/>
  <c r="AF51" i="4"/>
  <c r="AA29" i="4" l="1"/>
  <c r="AC29" i="4" s="1"/>
  <c r="AD29" i="4" s="1"/>
  <c r="AG87" i="4"/>
  <c r="AI87" i="4" s="1"/>
  <c r="AK44" i="4"/>
  <c r="AA87" i="4"/>
  <c r="AC87" i="4" s="1"/>
  <c r="AD87" i="4" s="1"/>
  <c r="AA49" i="4"/>
  <c r="AC49" i="4" s="1"/>
  <c r="AD49" i="4" s="1"/>
  <c r="AK70" i="4"/>
  <c r="Y47" i="4"/>
  <c r="Z47" i="4" s="1"/>
  <c r="AK47" i="4" s="1"/>
  <c r="AE85" i="4"/>
  <c r="AE47" i="4"/>
  <c r="AE118" i="4"/>
  <c r="AE76" i="4"/>
  <c r="AG96" i="4"/>
  <c r="AI96" i="4" s="1"/>
  <c r="X118" i="4"/>
  <c r="AA118" i="4" s="1"/>
  <c r="AC118" i="4" s="1"/>
  <c r="AD118" i="4" s="1"/>
  <c r="AE127" i="4"/>
  <c r="Y76" i="4"/>
  <c r="Z76" i="4" s="1"/>
  <c r="AK76" i="4" s="1"/>
  <c r="AS264" i="5"/>
  <c r="AD221" i="5"/>
  <c r="X127" i="4"/>
  <c r="AJ127" i="4" s="1"/>
  <c r="AE206" i="5"/>
  <c r="AS459" i="5"/>
  <c r="AE512" i="5"/>
  <c r="AE459" i="5"/>
  <c r="AD512" i="5"/>
  <c r="AO102" i="4"/>
  <c r="AG102" i="4"/>
  <c r="AI102" i="4" s="1"/>
  <c r="AO74" i="4"/>
  <c r="AE221" i="5"/>
  <c r="X18" i="4"/>
  <c r="AJ18" i="4" s="1"/>
  <c r="AE18" i="4"/>
  <c r="AG18" i="4"/>
  <c r="AI18" i="4" s="1"/>
  <c r="AO18" i="4"/>
  <c r="AS523" i="5"/>
  <c r="AU523" i="5" s="1"/>
  <c r="AD80" i="5"/>
  <c r="AD525" i="5"/>
  <c r="AE80" i="5"/>
  <c r="AD105" i="5"/>
  <c r="AE546" i="5"/>
  <c r="AS546" i="5"/>
  <c r="AU546" i="5" s="1"/>
  <c r="AD537" i="5"/>
  <c r="AS379" i="5"/>
  <c r="AU379" i="5" s="1"/>
  <c r="AS537" i="5"/>
  <c r="AT537" i="5" s="1"/>
  <c r="AD379" i="5"/>
  <c r="AE117" i="5"/>
  <c r="AE234" i="5"/>
  <c r="AS234" i="5"/>
  <c r="AU234" i="5" s="1"/>
  <c r="AD392" i="5"/>
  <c r="AS446" i="5"/>
  <c r="AU446" i="5" s="1"/>
  <c r="AD26" i="5"/>
  <c r="AD121" i="5"/>
  <c r="AD254" i="5"/>
  <c r="AD160" i="5"/>
  <c r="AE121" i="5"/>
  <c r="AE446" i="5"/>
  <c r="AE392" i="5"/>
  <c r="AE160" i="5"/>
  <c r="AS376" i="5"/>
  <c r="AT376" i="5" s="1"/>
  <c r="AD429" i="5"/>
  <c r="AE432" i="5"/>
  <c r="AE429" i="5"/>
  <c r="AD432" i="5"/>
  <c r="AE426" i="5"/>
  <c r="AS23" i="5"/>
  <c r="AT23" i="5" s="1"/>
  <c r="AS426" i="5"/>
  <c r="AT426" i="5" s="1"/>
  <c r="Y37" i="4"/>
  <c r="Z37" i="4" s="1"/>
  <c r="AA37" i="4" s="1"/>
  <c r="AC37" i="4" s="1"/>
  <c r="AD37" i="4" s="1"/>
  <c r="AE23" i="5"/>
  <c r="AE534" i="5"/>
  <c r="AS534" i="5"/>
  <c r="AT534" i="5" s="1"/>
  <c r="AS530" i="5"/>
  <c r="AU530" i="5" s="1"/>
  <c r="AE530" i="5"/>
  <c r="X145" i="4"/>
  <c r="AJ145" i="4" s="1"/>
  <c r="AE145" i="4"/>
  <c r="AE376" i="5"/>
  <c r="AS105" i="5"/>
  <c r="AU105" i="5" s="1"/>
  <c r="AD264" i="5"/>
  <c r="AD508" i="5"/>
  <c r="AD417" i="5"/>
  <c r="AD422" i="5"/>
  <c r="AS483" i="5"/>
  <c r="AU483" i="5" s="1"/>
  <c r="AS508" i="5"/>
  <c r="AU508" i="5" s="1"/>
  <c r="AE289" i="5"/>
  <c r="AD232" i="5"/>
  <c r="AE483" i="5"/>
  <c r="AE279" i="5"/>
  <c r="AE254" i="5"/>
  <c r="AE232" i="5"/>
  <c r="AD500" i="5"/>
  <c r="AD279" i="5"/>
  <c r="X66" i="4"/>
  <c r="AJ66" i="4" s="1"/>
  <c r="AE422" i="5"/>
  <c r="AS532" i="5"/>
  <c r="AT532" i="5" s="1"/>
  <c r="AS200" i="5"/>
  <c r="AT200" i="5" s="1"/>
  <c r="AE500" i="5"/>
  <c r="AS26" i="5"/>
  <c r="AT26" i="5" s="1"/>
  <c r="AE532" i="5"/>
  <c r="AD479" i="5"/>
  <c r="AS289" i="5"/>
  <c r="AT289" i="5" s="1"/>
  <c r="AE14" i="4"/>
  <c r="AS469" i="5"/>
  <c r="AU469" i="5" s="1"/>
  <c r="AD469" i="5"/>
  <c r="AE417" i="5"/>
  <c r="AS243" i="5"/>
  <c r="AU243" i="5" s="1"/>
  <c r="AS345" i="5"/>
  <c r="AT345" i="5" s="1"/>
  <c r="AD117" i="5"/>
  <c r="AS97" i="5"/>
  <c r="AT97" i="5" s="1"/>
  <c r="AS463" i="5"/>
  <c r="AU463" i="5" s="1"/>
  <c r="AE97" i="5"/>
  <c r="K36" i="2"/>
  <c r="L36" i="2"/>
  <c r="X46" i="4"/>
  <c r="AK46" i="4" s="1"/>
  <c r="AE15" i="4"/>
  <c r="AO46" i="4"/>
  <c r="AE37" i="4"/>
  <c r="AS265" i="5"/>
  <c r="AT265" i="5" s="1"/>
  <c r="AE520" i="5"/>
  <c r="AD520" i="5"/>
  <c r="AS184" i="5"/>
  <c r="AT184" i="5" s="1"/>
  <c r="AE184" i="5"/>
  <c r="AD463" i="5"/>
  <c r="AE205" i="5"/>
  <c r="AD470" i="5"/>
  <c r="AS470" i="5"/>
  <c r="AU470" i="5" s="1"/>
  <c r="AD556" i="5"/>
  <c r="AS327" i="5"/>
  <c r="AT327" i="5" s="1"/>
  <c r="AS509" i="5"/>
  <c r="AT509" i="5" s="1"/>
  <c r="AD511" i="5"/>
  <c r="AE140" i="5"/>
  <c r="AD452" i="5"/>
  <c r="AS226" i="5"/>
  <c r="AT226" i="5" s="1"/>
  <c r="AE354" i="5"/>
  <c r="AS22" i="5"/>
  <c r="AT22" i="5" s="1"/>
  <c r="AE213" i="5"/>
  <c r="AS511" i="5"/>
  <c r="AT511" i="5" s="1"/>
  <c r="AS297" i="5"/>
  <c r="AT297" i="5" s="1"/>
  <c r="AS466" i="5"/>
  <c r="AU466" i="5" s="1"/>
  <c r="AE297" i="5"/>
  <c r="AS213" i="5"/>
  <c r="AU213" i="5" s="1"/>
  <c r="AS540" i="5"/>
  <c r="AU540" i="5" s="1"/>
  <c r="AE359" i="5"/>
  <c r="Y20" i="4"/>
  <c r="Z20" i="4" s="1"/>
  <c r="AF20" i="4" s="1"/>
  <c r="AE20" i="4"/>
  <c r="AD444" i="5"/>
  <c r="AD183" i="5"/>
  <c r="AS49" i="5"/>
  <c r="AT49" i="5" s="1"/>
  <c r="AE46" i="4"/>
  <c r="AA43" i="4"/>
  <c r="AC43" i="4" s="1"/>
  <c r="AD43" i="4" s="1"/>
  <c r="AD540" i="5"/>
  <c r="AS359" i="5"/>
  <c r="AT359" i="5" s="1"/>
  <c r="AE365" i="5"/>
  <c r="AS514" i="5"/>
  <c r="AT514" i="5" s="1"/>
  <c r="AE479" i="5"/>
  <c r="X14" i="4"/>
  <c r="AJ14" i="4" s="1"/>
  <c r="AE24" i="5"/>
  <c r="AS166" i="5"/>
  <c r="AT166" i="5" s="1"/>
  <c r="AD136" i="5"/>
  <c r="X61" i="4"/>
  <c r="AJ61" i="4" s="1"/>
  <c r="AE66" i="4"/>
  <c r="AF66" i="4"/>
  <c r="AO66" i="4" s="1"/>
  <c r="AD302" i="5"/>
  <c r="AA149" i="4"/>
  <c r="AC149" i="4" s="1"/>
  <c r="AD149" i="4" s="1"/>
  <c r="AO61" i="4"/>
  <c r="AA115" i="4"/>
  <c r="AC115" i="4" s="1"/>
  <c r="AD115" i="4" s="1"/>
  <c r="AE61" i="4"/>
  <c r="AE40" i="5"/>
  <c r="AE237" i="5"/>
  <c r="AE42" i="5"/>
  <c r="AD386" i="5"/>
  <c r="AE261" i="5"/>
  <c r="AS188" i="5"/>
  <c r="AT188" i="5" s="1"/>
  <c r="AE386" i="5"/>
  <c r="AS42" i="5"/>
  <c r="AU42" i="5" s="1"/>
  <c r="AF142" i="4"/>
  <c r="AG142" i="4" s="1"/>
  <c r="AI142" i="4" s="1"/>
  <c r="AS248" i="5"/>
  <c r="AU248" i="5" s="1"/>
  <c r="AD261" i="5"/>
  <c r="AE142" i="4"/>
  <c r="AS361" i="5"/>
  <c r="AU361" i="5" s="1"/>
  <c r="AD361" i="5"/>
  <c r="AD543" i="5"/>
  <c r="AD280" i="5"/>
  <c r="AS313" i="5"/>
  <c r="AU313" i="5" s="1"/>
  <c r="X142" i="4"/>
  <c r="AJ142" i="4" s="1"/>
  <c r="AE280" i="5"/>
  <c r="AD301" i="5"/>
  <c r="AE303" i="5"/>
  <c r="AE482" i="5"/>
  <c r="AE382" i="5"/>
  <c r="AS351" i="5"/>
  <c r="AT351" i="5" s="1"/>
  <c r="AS518" i="5"/>
  <c r="AU518" i="5" s="1"/>
  <c r="AS31" i="5"/>
  <c r="AT31" i="5" s="1"/>
  <c r="AE491" i="5"/>
  <c r="AT278" i="5"/>
  <c r="AD365" i="5"/>
  <c r="AE501" i="5"/>
  <c r="AS353" i="5"/>
  <c r="AT353" i="5" s="1"/>
  <c r="AS421" i="5"/>
  <c r="AT421" i="5" s="1"/>
  <c r="AD332" i="5"/>
  <c r="AE332" i="5"/>
  <c r="AD518" i="5"/>
  <c r="AD203" i="5"/>
  <c r="AE166" i="5"/>
  <c r="AS302" i="5"/>
  <c r="AU302" i="5" s="1"/>
  <c r="AE70" i="5"/>
  <c r="AS145" i="5"/>
  <c r="AU145" i="5" s="1"/>
  <c r="AD514" i="5"/>
  <c r="AS300" i="5"/>
  <c r="AT300" i="5" s="1"/>
  <c r="AS444" i="5"/>
  <c r="AU444" i="5" s="1"/>
  <c r="AD345" i="5"/>
  <c r="AE136" i="5"/>
  <c r="AE243" i="5"/>
  <c r="AS113" i="5"/>
  <c r="AU113" i="5" s="1"/>
  <c r="AE300" i="5"/>
  <c r="AS382" i="5"/>
  <c r="AT382" i="5" s="1"/>
  <c r="AD482" i="5"/>
  <c r="AS58" i="5"/>
  <c r="AU58" i="5" s="1"/>
  <c r="AE58" i="5"/>
  <c r="AD48" i="5"/>
  <c r="AD363" i="5"/>
  <c r="AS201" i="5"/>
  <c r="AU201" i="5" s="1"/>
  <c r="AS349" i="5"/>
  <c r="AT349" i="5" s="1"/>
  <c r="AE336" i="5"/>
  <c r="AS137" i="5"/>
  <c r="AT137" i="5" s="1"/>
  <c r="AE59" i="5"/>
  <c r="AE349" i="5"/>
  <c r="AE378" i="5"/>
  <c r="AS222" i="5"/>
  <c r="AU222" i="5" s="1"/>
  <c r="AS336" i="5"/>
  <c r="AT336" i="5" s="1"/>
  <c r="AS21" i="5"/>
  <c r="AT21" i="5" s="1"/>
  <c r="AD21" i="5"/>
  <c r="AS148" i="5"/>
  <c r="AT148" i="5" s="1"/>
  <c r="AE248" i="5"/>
  <c r="AE188" i="5"/>
  <c r="AE137" i="5"/>
  <c r="AD59" i="5"/>
  <c r="AD374" i="5"/>
  <c r="AD32" i="5"/>
  <c r="AS478" i="5"/>
  <c r="AU478" i="5" s="1"/>
  <c r="AE223" i="5"/>
  <c r="AS374" i="5"/>
  <c r="AU374" i="5" s="1"/>
  <c r="AE455" i="5"/>
  <c r="AS32" i="5"/>
  <c r="AT32" i="5" s="1"/>
  <c r="AD478" i="5"/>
  <c r="AD223" i="5"/>
  <c r="AE199" i="5"/>
  <c r="AD303" i="5"/>
  <c r="AE313" i="5"/>
  <c r="AD481" i="5"/>
  <c r="AD237" i="5"/>
  <c r="AS363" i="5"/>
  <c r="AT363" i="5" s="1"/>
  <c r="AS378" i="5"/>
  <c r="AU378" i="5" s="1"/>
  <c r="AE222" i="5"/>
  <c r="AE69" i="5"/>
  <c r="AE543" i="5"/>
  <c r="AS301" i="5"/>
  <c r="AU301" i="5" s="1"/>
  <c r="AS455" i="5"/>
  <c r="AU455" i="5" s="1"/>
  <c r="AD453" i="5"/>
  <c r="AS48" i="5"/>
  <c r="AU48" i="5" s="1"/>
  <c r="AD138" i="5"/>
  <c r="AS138" i="5"/>
  <c r="AT138" i="5" s="1"/>
  <c r="AD360" i="5"/>
  <c r="AS477" i="5"/>
  <c r="AT477" i="5" s="1"/>
  <c r="AE333" i="5"/>
  <c r="AE477" i="5"/>
  <c r="AS94" i="5"/>
  <c r="AU94" i="5" s="1"/>
  <c r="AD194" i="5"/>
  <c r="AS306" i="5"/>
  <c r="AU306" i="5" s="1"/>
  <c r="AS494" i="5"/>
  <c r="AU494" i="5" s="1"/>
  <c r="AA96" i="4"/>
  <c r="AC96" i="4" s="1"/>
  <c r="AD96" i="4" s="1"/>
  <c r="AD94" i="5"/>
  <c r="AD333" i="5"/>
  <c r="AS360" i="5"/>
  <c r="AU360" i="5" s="1"/>
  <c r="AS259" i="5"/>
  <c r="AU259" i="5" s="1"/>
  <c r="AD460" i="5"/>
  <c r="AT147" i="5"/>
  <c r="AS194" i="5"/>
  <c r="AU194" i="5" s="1"/>
  <c r="AD306" i="5"/>
  <c r="AE494" i="5"/>
  <c r="AT54" i="5"/>
  <c r="AS158" i="5"/>
  <c r="AU158" i="5" s="1"/>
  <c r="AD54" i="5"/>
  <c r="AE173" i="5"/>
  <c r="AD269" i="5"/>
  <c r="AS119" i="5"/>
  <c r="AU119" i="5" s="1"/>
  <c r="AE186" i="5"/>
  <c r="AE460" i="5"/>
  <c r="AD475" i="5"/>
  <c r="AE399" i="5"/>
  <c r="AD398" i="5"/>
  <c r="AS475" i="5"/>
  <c r="AU475" i="5" s="1"/>
  <c r="AD536" i="5"/>
  <c r="AE165" i="5"/>
  <c r="AE125" i="5"/>
  <c r="AS186" i="5"/>
  <c r="AU186" i="5" s="1"/>
  <c r="AD399" i="5"/>
  <c r="AD456" i="5"/>
  <c r="AE54" i="5"/>
  <c r="AS425" i="5"/>
  <c r="AT425" i="5" s="1"/>
  <c r="AS55" i="5"/>
  <c r="AT55" i="5" s="1"/>
  <c r="AE135" i="4"/>
  <c r="AE533" i="5"/>
  <c r="AD31" i="5"/>
  <c r="AS440" i="5"/>
  <c r="AT440" i="5" s="1"/>
  <c r="AD366" i="5"/>
  <c r="AS462" i="5"/>
  <c r="AU462" i="5" s="1"/>
  <c r="AE65" i="5"/>
  <c r="AD436" i="5"/>
  <c r="AD400" i="5"/>
  <c r="AD296" i="5"/>
  <c r="AS283" i="5"/>
  <c r="AT283" i="5" s="1"/>
  <c r="AE269" i="5"/>
  <c r="AE241" i="5"/>
  <c r="AS517" i="5"/>
  <c r="AT517" i="5" s="1"/>
  <c r="AE208" i="5"/>
  <c r="AS140" i="5"/>
  <c r="AU140" i="5" s="1"/>
  <c r="AS556" i="5"/>
  <c r="AU556" i="5" s="1"/>
  <c r="AE22" i="5"/>
  <c r="AD151" i="5"/>
  <c r="AD226" i="5"/>
  <c r="AD466" i="5"/>
  <c r="AS62" i="5"/>
  <c r="AT62" i="5" s="1"/>
  <c r="AS354" i="5"/>
  <c r="AU354" i="5" s="1"/>
  <c r="AS309" i="5"/>
  <c r="AT309" i="5" s="1"/>
  <c r="AD401" i="5"/>
  <c r="AS325" i="5"/>
  <c r="AU325" i="5" s="1"/>
  <c r="X15" i="4"/>
  <c r="AJ15" i="4" s="1"/>
  <c r="AE210" i="5"/>
  <c r="AE151" i="5"/>
  <c r="AD472" i="5"/>
  <c r="AD112" i="5"/>
  <c r="AE551" i="5"/>
  <c r="AE309" i="5"/>
  <c r="AD486" i="5"/>
  <c r="AE112" i="5"/>
  <c r="AS551" i="5"/>
  <c r="AU551" i="5" s="1"/>
  <c r="AD245" i="5"/>
  <c r="AD277" i="5"/>
  <c r="AS116" i="5"/>
  <c r="AT116" i="5" s="1"/>
  <c r="AD325" i="5"/>
  <c r="AS504" i="5"/>
  <c r="AT504" i="5" s="1"/>
  <c r="AS210" i="5"/>
  <c r="AU210" i="5" s="1"/>
  <c r="AE304" i="5"/>
  <c r="AD327" i="5"/>
  <c r="AS452" i="5"/>
  <c r="AU452" i="5" s="1"/>
  <c r="AD504" i="5"/>
  <c r="AD304" i="5"/>
  <c r="AS245" i="5"/>
  <c r="AT245" i="5" s="1"/>
  <c r="AS46" i="5"/>
  <c r="AT46" i="5" s="1"/>
  <c r="AS277" i="5"/>
  <c r="AU277" i="5" s="1"/>
  <c r="AD158" i="5"/>
  <c r="AD46" i="5"/>
  <c r="AD116" i="5"/>
  <c r="AS438" i="5"/>
  <c r="AT438" i="5" s="1"/>
  <c r="AS244" i="5"/>
  <c r="AU244" i="5" s="1"/>
  <c r="AD189" i="5"/>
  <c r="AD40" i="5"/>
  <c r="AE502" i="5"/>
  <c r="AD38" i="5"/>
  <c r="AD180" i="5"/>
  <c r="AE101" i="5"/>
  <c r="AE480" i="5"/>
  <c r="AS548" i="5"/>
  <c r="AT548" i="5" s="1"/>
  <c r="AS36" i="5"/>
  <c r="AU36" i="5" s="1"/>
  <c r="AS502" i="5"/>
  <c r="AT502" i="5" s="1"/>
  <c r="AS310" i="5"/>
  <c r="AU310" i="5" s="1"/>
  <c r="AD142" i="5"/>
  <c r="AE76" i="5"/>
  <c r="AS308" i="5"/>
  <c r="AU308" i="5" s="1"/>
  <c r="AD338" i="5"/>
  <c r="AE142" i="5"/>
  <c r="AD274" i="5"/>
  <c r="AD238" i="5"/>
  <c r="AE19" i="5"/>
  <c r="AD150" i="5"/>
  <c r="AE544" i="5"/>
  <c r="AD450" i="5"/>
  <c r="AS115" i="5"/>
  <c r="AT115" i="5" s="1"/>
  <c r="AD295" i="5"/>
  <c r="AE115" i="5"/>
  <c r="AD491" i="5"/>
  <c r="AS150" i="5"/>
  <c r="AU150" i="5" s="1"/>
  <c r="AE552" i="5"/>
  <c r="AE517" i="5"/>
  <c r="AE341" i="5"/>
  <c r="AE25" i="5"/>
  <c r="AS552" i="5"/>
  <c r="AT552" i="5" s="1"/>
  <c r="AD241" i="5"/>
  <c r="AD298" i="5"/>
  <c r="AS25" i="5"/>
  <c r="AT25" i="5" s="1"/>
  <c r="AE298" i="5"/>
  <c r="AD451" i="5"/>
  <c r="AT202" i="5"/>
  <c r="AE202" i="5"/>
  <c r="AD202" i="5"/>
  <c r="AD208" i="5"/>
  <c r="AS451" i="5"/>
  <c r="AU451" i="5" s="1"/>
  <c r="AS267" i="5"/>
  <c r="AU267" i="5" s="1"/>
  <c r="AS174" i="5"/>
  <c r="AU174" i="5" s="1"/>
  <c r="AS104" i="5"/>
  <c r="AU104" i="5" s="1"/>
  <c r="AE145" i="5"/>
  <c r="AD104" i="5"/>
  <c r="AS178" i="5"/>
  <c r="AU178" i="5" s="1"/>
  <c r="AE113" i="5"/>
  <c r="AE200" i="5"/>
  <c r="AS533" i="5"/>
  <c r="AT533" i="5" s="1"/>
  <c r="AE216" i="5"/>
  <c r="AS120" i="5"/>
  <c r="AU120" i="5" s="1"/>
  <c r="AS501" i="5"/>
  <c r="AU501" i="5" s="1"/>
  <c r="AE456" i="5"/>
  <c r="AD421" i="5"/>
  <c r="AE120" i="5"/>
  <c r="AU78" i="5"/>
  <c r="AE351" i="5"/>
  <c r="AD275" i="5"/>
  <c r="AD440" i="5"/>
  <c r="AS400" i="5"/>
  <c r="AT400" i="5" s="1"/>
  <c r="AE203" i="5"/>
  <c r="AS366" i="5"/>
  <c r="AU366" i="5" s="1"/>
  <c r="AD216" i="5"/>
  <c r="AE434" i="5"/>
  <c r="AS390" i="5"/>
  <c r="AU390" i="5" s="1"/>
  <c r="AD383" i="5"/>
  <c r="AE275" i="5"/>
  <c r="AE181" i="5"/>
  <c r="AD260" i="5"/>
  <c r="AD434" i="5"/>
  <c r="AE384" i="5"/>
  <c r="AE425" i="5"/>
  <c r="AE390" i="5"/>
  <c r="AD165" i="5"/>
  <c r="AD335" i="5"/>
  <c r="AD506" i="5"/>
  <c r="AD181" i="5"/>
  <c r="AE260" i="5"/>
  <c r="AS383" i="5"/>
  <c r="AU383" i="5" s="1"/>
  <c r="AS492" i="5"/>
  <c r="AU492" i="5" s="1"/>
  <c r="AS384" i="5"/>
  <c r="AT384" i="5" s="1"/>
  <c r="AS335" i="5"/>
  <c r="AU335" i="5" s="1"/>
  <c r="AE506" i="5"/>
  <c r="AD492" i="5"/>
  <c r="AD353" i="5"/>
  <c r="AE495" i="5"/>
  <c r="AS193" i="5"/>
  <c r="AT193" i="5" s="1"/>
  <c r="AD114" i="5"/>
  <c r="AD495" i="5"/>
  <c r="AT81" i="5"/>
  <c r="AD283" i="5"/>
  <c r="AS114" i="5"/>
  <c r="AT114" i="5" s="1"/>
  <c r="AS420" i="5"/>
  <c r="AT420" i="5" s="1"/>
  <c r="AD441" i="5"/>
  <c r="AE462" i="5"/>
  <c r="AS441" i="5"/>
  <c r="AU441" i="5" s="1"/>
  <c r="AE420" i="5"/>
  <c r="AE278" i="5"/>
  <c r="AS60" i="5"/>
  <c r="AU60" i="5" s="1"/>
  <c r="X135" i="4"/>
  <c r="AJ135" i="4" s="1"/>
  <c r="AD278" i="5"/>
  <c r="AD81" i="5"/>
  <c r="AE122" i="5"/>
  <c r="AE49" i="5"/>
  <c r="AD70" i="5"/>
  <c r="AS122" i="5"/>
  <c r="AT122" i="5" s="1"/>
  <c r="AE81" i="5"/>
  <c r="AE78" i="5"/>
  <c r="AE60" i="5"/>
  <c r="AE36" i="5"/>
  <c r="AD356" i="5"/>
  <c r="AD310" i="5"/>
  <c r="AF125" i="4"/>
  <c r="AG125" i="4" s="1"/>
  <c r="AI125" i="4" s="1"/>
  <c r="AD127" i="5"/>
  <c r="AE356" i="5"/>
  <c r="AE125" i="4"/>
  <c r="AE127" i="5"/>
  <c r="AE143" i="5"/>
  <c r="AD343" i="5"/>
  <c r="AS314" i="5"/>
  <c r="AT314" i="5" s="1"/>
  <c r="AE343" i="5"/>
  <c r="AS50" i="5"/>
  <c r="AT50" i="5" s="1"/>
  <c r="AE342" i="5"/>
  <c r="X125" i="4"/>
  <c r="AJ125" i="4" s="1"/>
  <c r="AS143" i="5"/>
  <c r="AT143" i="5" s="1"/>
  <c r="AE12" i="5"/>
  <c r="AS541" i="5"/>
  <c r="AT541" i="5" s="1"/>
  <c r="AD50" i="5"/>
  <c r="AD428" i="5"/>
  <c r="AS12" i="5"/>
  <c r="AU12" i="5" s="1"/>
  <c r="AS496" i="5"/>
  <c r="AU496" i="5" s="1"/>
  <c r="AE496" i="5"/>
  <c r="AE314" i="5"/>
  <c r="AE38" i="5"/>
  <c r="AD342" i="5"/>
  <c r="AE308" i="5"/>
  <c r="AS77" i="5"/>
  <c r="AT77" i="5" s="1"/>
  <c r="AX77" i="5" s="1"/>
  <c r="AY77" i="5" s="1"/>
  <c r="AS476" i="5"/>
  <c r="AT476" i="5" s="1"/>
  <c r="AS405" i="5"/>
  <c r="AU405" i="5" s="1"/>
  <c r="AE106" i="5"/>
  <c r="AD244" i="5"/>
  <c r="AS295" i="5"/>
  <c r="AU295" i="5" s="1"/>
  <c r="AS76" i="5"/>
  <c r="AU76" i="5" s="1"/>
  <c r="AD438" i="5"/>
  <c r="AE405" i="5"/>
  <c r="AS106" i="5"/>
  <c r="AT106" i="5" s="1"/>
  <c r="AS134" i="5"/>
  <c r="AU134" i="5" s="1"/>
  <c r="AE180" i="5"/>
  <c r="AE476" i="5"/>
  <c r="AS90" i="5"/>
  <c r="AU90" i="5" s="1"/>
  <c r="AD282" i="5"/>
  <c r="AD528" i="5"/>
  <c r="X57" i="4"/>
  <c r="AJ57" i="4" s="1"/>
  <c r="AD77" i="5"/>
  <c r="AE57" i="4"/>
  <c r="AD239" i="5"/>
  <c r="AS24" i="5"/>
  <c r="AT24" i="5" s="1"/>
  <c r="AE338" i="5"/>
  <c r="AE274" i="5"/>
  <c r="AD294" i="5"/>
  <c r="AS239" i="5"/>
  <c r="AU239" i="5" s="1"/>
  <c r="AS293" i="5"/>
  <c r="AT293" i="5" s="1"/>
  <c r="AD262" i="5"/>
  <c r="AS44" i="5"/>
  <c r="AT44" i="5" s="1"/>
  <c r="AE294" i="5"/>
  <c r="AD217" i="5"/>
  <c r="AE247" i="5"/>
  <c r="AS238" i="5"/>
  <c r="AU238" i="5" s="1"/>
  <c r="AD293" i="5"/>
  <c r="AE189" i="5"/>
  <c r="AE262" i="5"/>
  <c r="AS344" i="5"/>
  <c r="AU344" i="5" s="1"/>
  <c r="AD101" i="5"/>
  <c r="AE44" i="5"/>
  <c r="AS394" i="5"/>
  <c r="AT394" i="5" s="1"/>
  <c r="AS19" i="5"/>
  <c r="AT19" i="5" s="1"/>
  <c r="AS453" i="5"/>
  <c r="AT453" i="5" s="1"/>
  <c r="AD548" i="5"/>
  <c r="AE148" i="5"/>
  <c r="AD197" i="5"/>
  <c r="AS220" i="5"/>
  <c r="AU220" i="5" s="1"/>
  <c r="AD544" i="5"/>
  <c r="AE450" i="5"/>
  <c r="AK96" i="4"/>
  <c r="AS217" i="5"/>
  <c r="AU217" i="5" s="1"/>
  <c r="AS197" i="5"/>
  <c r="AU197" i="5" s="1"/>
  <c r="AE220" i="5"/>
  <c r="AE266" i="5"/>
  <c r="AD257" i="5"/>
  <c r="AE436" i="5"/>
  <c r="AD174" i="5"/>
  <c r="AS410" i="5"/>
  <c r="AU410" i="5" s="1"/>
  <c r="AE34" i="5"/>
  <c r="AS132" i="5"/>
  <c r="AU132" i="5" s="1"/>
  <c r="AS27" i="5"/>
  <c r="AU27" i="5" s="1"/>
  <c r="AE133" i="5"/>
  <c r="AS126" i="5"/>
  <c r="AT126" i="5" s="1"/>
  <c r="AS416" i="5"/>
  <c r="AT416" i="5" s="1"/>
  <c r="AS385" i="5"/>
  <c r="AT385" i="5" s="1"/>
  <c r="AS111" i="5"/>
  <c r="AU111" i="5" s="1"/>
  <c r="AD133" i="5"/>
  <c r="AD267" i="5"/>
  <c r="AS68" i="5"/>
  <c r="AT68" i="5" s="1"/>
  <c r="AE416" i="5"/>
  <c r="AD27" i="5"/>
  <c r="AS447" i="5"/>
  <c r="AT447" i="5" s="1"/>
  <c r="AD385" i="5"/>
  <c r="AD350" i="5"/>
  <c r="AS350" i="5"/>
  <c r="AT350" i="5" s="1"/>
  <c r="AE375" i="5"/>
  <c r="AS179" i="5"/>
  <c r="AU179" i="5" s="1"/>
  <c r="AE35" i="5"/>
  <c r="AD73" i="5"/>
  <c r="AD29" i="5"/>
  <c r="AS155" i="5"/>
  <c r="AU155" i="5" s="1"/>
  <c r="AE505" i="5"/>
  <c r="AS369" i="5"/>
  <c r="AT369" i="5" s="1"/>
  <c r="AE43" i="5"/>
  <c r="AD155" i="5"/>
  <c r="AE68" i="5"/>
  <c r="AS73" i="5"/>
  <c r="AT73" i="5" s="1"/>
  <c r="AE111" i="5"/>
  <c r="AD369" i="5"/>
  <c r="AD341" i="5"/>
  <c r="AS505" i="5"/>
  <c r="AT505" i="5" s="1"/>
  <c r="AD126" i="5"/>
  <c r="AS388" i="5"/>
  <c r="AU388" i="5" s="1"/>
  <c r="AD465" i="5"/>
  <c r="AD132" i="5"/>
  <c r="AU257" i="5"/>
  <c r="AD125" i="5"/>
  <c r="AD529" i="5"/>
  <c r="AE296" i="5"/>
  <c r="AD253" i="5"/>
  <c r="AD228" i="5"/>
  <c r="AD55" i="5"/>
  <c r="AS529" i="5"/>
  <c r="AU529" i="5" s="1"/>
  <c r="AD499" i="5"/>
  <c r="AD168" i="5"/>
  <c r="AS228" i="5"/>
  <c r="AU228" i="5" s="1"/>
  <c r="AD236" i="5"/>
  <c r="AE499" i="5"/>
  <c r="AE403" i="5"/>
  <c r="AD33" i="5"/>
  <c r="AE147" i="5"/>
  <c r="AE157" i="5"/>
  <c r="AS168" i="5"/>
  <c r="AU168" i="5" s="1"/>
  <c r="AS99" i="5"/>
  <c r="AU99" i="5" s="1"/>
  <c r="AE253" i="5"/>
  <c r="AD66" i="5"/>
  <c r="AS473" i="5"/>
  <c r="AU473" i="5" s="1"/>
  <c r="AS236" i="5"/>
  <c r="AU236" i="5" s="1"/>
  <c r="AE214" i="5"/>
  <c r="AS141" i="5"/>
  <c r="AU141" i="5" s="1"/>
  <c r="AS404" i="5"/>
  <c r="AU404" i="5" s="1"/>
  <c r="AD268" i="5"/>
  <c r="AS403" i="5"/>
  <c r="AU403" i="5" s="1"/>
  <c r="AE33" i="5"/>
  <c r="AS218" i="5"/>
  <c r="AT218" i="5" s="1"/>
  <c r="AS398" i="5"/>
  <c r="AT398" i="5" s="1"/>
  <c r="AD173" i="5"/>
  <c r="AS66" i="5"/>
  <c r="AU66" i="5" s="1"/>
  <c r="AE473" i="5"/>
  <c r="AD119" i="5"/>
  <c r="AS214" i="5"/>
  <c r="AU214" i="5" s="1"/>
  <c r="AE141" i="5"/>
  <c r="AE404" i="5"/>
  <c r="AE268" i="5"/>
  <c r="AD259" i="5"/>
  <c r="AD266" i="5"/>
  <c r="AE257" i="5"/>
  <c r="AS229" i="5"/>
  <c r="AU229" i="5" s="1"/>
  <c r="AE229" i="5"/>
  <c r="AE536" i="5"/>
  <c r="AS108" i="5"/>
  <c r="AT108" i="5" s="1"/>
  <c r="AD218" i="5"/>
  <c r="AS65" i="5"/>
  <c r="AU65" i="5" s="1"/>
  <c r="AD147" i="5"/>
  <c r="AE99" i="5"/>
  <c r="AS157" i="5"/>
  <c r="AU157" i="5" s="1"/>
  <c r="AE541" i="5"/>
  <c r="AD90" i="5"/>
  <c r="AE282" i="5"/>
  <c r="AS468" i="5"/>
  <c r="AT468" i="5" s="1"/>
  <c r="AS528" i="5"/>
  <c r="AU528" i="5" s="1"/>
  <c r="AD134" i="5"/>
  <c r="AS428" i="5"/>
  <c r="AU428" i="5" s="1"/>
  <c r="AE468" i="5"/>
  <c r="AS198" i="5"/>
  <c r="AT198" i="5" s="1"/>
  <c r="AD513" i="5"/>
  <c r="AE329" i="5"/>
  <c r="AS285" i="5"/>
  <c r="AT285" i="5" s="1"/>
  <c r="AE521" i="5"/>
  <c r="AE380" i="5"/>
  <c r="AS513" i="5"/>
  <c r="AU513" i="5" s="1"/>
  <c r="AE331" i="5"/>
  <c r="AD395" i="5"/>
  <c r="AS318" i="5"/>
  <c r="AU318" i="5" s="1"/>
  <c r="AD329" i="5"/>
  <c r="AD83" i="5"/>
  <c r="AE285" i="5"/>
  <c r="AD521" i="5"/>
  <c r="AE198" i="5"/>
  <c r="AD255" i="5"/>
  <c r="AE471" i="5"/>
  <c r="AD471" i="5"/>
  <c r="AD380" i="5"/>
  <c r="AD331" i="5"/>
  <c r="AE395" i="5"/>
  <c r="AE318" i="5"/>
  <c r="AS270" i="5"/>
  <c r="AT270" i="5" s="1"/>
  <c r="AD427" i="5"/>
  <c r="AE83" i="5"/>
  <c r="AS402" i="5"/>
  <c r="AU402" i="5" s="1"/>
  <c r="AD270" i="5"/>
  <c r="AE427" i="5"/>
  <c r="AE402" i="5"/>
  <c r="AS255" i="5"/>
  <c r="AT255" i="5" s="1"/>
  <c r="Y39" i="4"/>
  <c r="Z39" i="4" s="1"/>
  <c r="AF39" i="4" s="1"/>
  <c r="AE62" i="5"/>
  <c r="AS205" i="5"/>
  <c r="AT205" i="5" s="1"/>
  <c r="AD251" i="5"/>
  <c r="AU175" i="5"/>
  <c r="AS82" i="5"/>
  <c r="AU82" i="5" s="1"/>
  <c r="AE39" i="4"/>
  <c r="AS401" i="5"/>
  <c r="AU401" i="5" s="1"/>
  <c r="AS437" i="5"/>
  <c r="AT437" i="5" s="1"/>
  <c r="AD82" i="5"/>
  <c r="AE437" i="5"/>
  <c r="AE251" i="5"/>
  <c r="AD424" i="5"/>
  <c r="AS387" i="5"/>
  <c r="AT387" i="5" s="1"/>
  <c r="AS103" i="5"/>
  <c r="AT103" i="5" s="1"/>
  <c r="AE175" i="5"/>
  <c r="AD381" i="5"/>
  <c r="AE424" i="5"/>
  <c r="AS316" i="5"/>
  <c r="AU316" i="5" s="1"/>
  <c r="AD7" i="5"/>
  <c r="B215" i="2" s="1"/>
  <c r="B216" i="2" s="1"/>
  <c r="B217" i="2" s="1"/>
  <c r="B227" i="2" s="1"/>
  <c r="B229" i="2" s="1"/>
  <c r="AE381" i="5"/>
  <c r="AD67" i="5"/>
  <c r="AO118" i="4"/>
  <c r="AE509" i="5"/>
  <c r="AD316" i="5"/>
  <c r="AS67" i="5"/>
  <c r="AU67" i="5" s="1"/>
  <c r="AS486" i="5"/>
  <c r="AU486" i="5" s="1"/>
  <c r="AE7" i="5"/>
  <c r="AS472" i="5"/>
  <c r="AT472" i="5" s="1"/>
  <c r="AE103" i="5"/>
  <c r="AD175" i="5"/>
  <c r="AD410" i="5"/>
  <c r="AE339" i="5"/>
  <c r="AS558" i="5"/>
  <c r="AU558" i="5" s="1"/>
  <c r="AE555" i="5"/>
  <c r="AE515" i="5"/>
  <c r="AD553" i="5"/>
  <c r="AD339" i="5"/>
  <c r="AE178" i="5"/>
  <c r="AE72" i="5"/>
  <c r="X12" i="4"/>
  <c r="AJ12" i="4" s="1"/>
  <c r="AD34" i="5"/>
  <c r="AE558" i="5"/>
  <c r="AS555" i="5"/>
  <c r="AU555" i="5" s="1"/>
  <c r="AE553" i="5"/>
  <c r="AS128" i="5"/>
  <c r="AT128" i="5" s="1"/>
  <c r="AE209" i="5"/>
  <c r="AD388" i="5"/>
  <c r="AE406" i="5"/>
  <c r="AD498" i="5"/>
  <c r="AD515" i="5"/>
  <c r="AD433" i="5"/>
  <c r="AE498" i="5"/>
  <c r="AS411" i="5"/>
  <c r="AU411" i="5" s="1"/>
  <c r="AS321" i="5"/>
  <c r="AU321" i="5" s="1"/>
  <c r="AE377" i="5"/>
  <c r="AE153" i="5"/>
  <c r="AE263" i="5"/>
  <c r="AE75" i="5"/>
  <c r="AE102" i="5"/>
  <c r="AD193" i="5"/>
  <c r="AE128" i="5"/>
  <c r="AS102" i="5"/>
  <c r="AT102" i="5" s="1"/>
  <c r="AD110" i="5"/>
  <c r="Y12" i="4"/>
  <c r="Z12" i="4" s="1"/>
  <c r="AD411" i="5"/>
  <c r="AS263" i="5"/>
  <c r="AU263" i="5" s="1"/>
  <c r="AS75" i="5"/>
  <c r="AU75" i="5" s="1"/>
  <c r="AS209" i="5"/>
  <c r="AT209" i="5" s="1"/>
  <c r="AE171" i="5"/>
  <c r="AE433" i="5"/>
  <c r="AS29" i="5"/>
  <c r="AT29" i="5" s="1"/>
  <c r="AS377" i="5"/>
  <c r="AU377" i="5" s="1"/>
  <c r="AS153" i="5"/>
  <c r="AT153" i="5" s="1"/>
  <c r="AE465" i="5"/>
  <c r="AD43" i="5"/>
  <c r="AD179" i="5"/>
  <c r="AS110" i="5"/>
  <c r="AU110" i="5" s="1"/>
  <c r="AE447" i="5"/>
  <c r="AD171" i="5"/>
  <c r="AS35" i="5"/>
  <c r="AT35" i="5" s="1"/>
  <c r="AS375" i="5"/>
  <c r="AT375" i="5" s="1"/>
  <c r="AE182" i="5"/>
  <c r="AD78" i="5"/>
  <c r="AS20" i="5"/>
  <c r="AT20" i="5" s="1"/>
  <c r="AD69" i="5"/>
  <c r="AE135" i="5"/>
  <c r="AD414" i="5"/>
  <c r="AE481" i="5"/>
  <c r="AD560" i="5"/>
  <c r="AS240" i="5"/>
  <c r="AT240" i="5" s="1"/>
  <c r="AE129" i="5"/>
  <c r="AD135" i="5"/>
  <c r="AE394" i="5"/>
  <c r="AD362" i="5"/>
  <c r="AS414" i="5"/>
  <c r="AT414" i="5" s="1"/>
  <c r="AD204" i="5"/>
  <c r="AS560" i="5"/>
  <c r="AT560" i="5" s="1"/>
  <c r="AS231" i="5"/>
  <c r="AU231" i="5" s="1"/>
  <c r="AS219" i="5"/>
  <c r="AT219" i="5" s="1"/>
  <c r="AS129" i="5"/>
  <c r="AT129" i="5" s="1"/>
  <c r="AE201" i="5"/>
  <c r="AD93" i="5"/>
  <c r="AE362" i="5"/>
  <c r="AS53" i="5"/>
  <c r="AT53" i="5" s="1"/>
  <c r="AS204" i="5"/>
  <c r="AT204" i="5" s="1"/>
  <c r="AE231" i="5"/>
  <c r="AE240" i="5"/>
  <c r="AE163" i="5"/>
  <c r="AD53" i="5"/>
  <c r="AD219" i="5"/>
  <c r="AS93" i="5"/>
  <c r="AT93" i="5" s="1"/>
  <c r="AS199" i="5"/>
  <c r="AT199" i="5" s="1"/>
  <c r="AE344" i="5"/>
  <c r="AS163" i="5"/>
  <c r="AT163" i="5" s="1"/>
  <c r="AS247" i="5"/>
  <c r="AT247" i="5" s="1"/>
  <c r="AE321" i="5"/>
  <c r="AD320" i="5"/>
  <c r="AS291" i="5"/>
  <c r="AU291" i="5" s="1"/>
  <c r="AE108" i="5"/>
  <c r="AD348" i="5"/>
  <c r="AS320" i="5"/>
  <c r="AT320" i="5" s="1"/>
  <c r="AD291" i="5"/>
  <c r="AE183" i="5"/>
  <c r="AE348" i="5"/>
  <c r="AU182" i="5"/>
  <c r="AK118" i="4"/>
  <c r="AT72" i="5"/>
  <c r="AE413" i="5"/>
  <c r="AD182" i="5"/>
  <c r="AJ118" i="4"/>
  <c r="AD413" i="5"/>
  <c r="AD72" i="5"/>
  <c r="AS406" i="5"/>
  <c r="AT406" i="5" s="1"/>
  <c r="AS480" i="5"/>
  <c r="AT480" i="5" s="1"/>
  <c r="AD45" i="5"/>
  <c r="AE317" i="5"/>
  <c r="AE20" i="5"/>
  <c r="AD317" i="5"/>
  <c r="AS272" i="5"/>
  <c r="AU272" i="5" s="1"/>
  <c r="Y26" i="4"/>
  <c r="Z26" i="4" s="1"/>
  <c r="X26" i="4"/>
  <c r="AJ26" i="4" s="1"/>
  <c r="AE26" i="4"/>
  <c r="AD272" i="5"/>
  <c r="AS45" i="5"/>
  <c r="AT45" i="5" s="1"/>
  <c r="AE323" i="5"/>
  <c r="AE559" i="5"/>
  <c r="AS323" i="5"/>
  <c r="AU323" i="5" s="1"/>
  <c r="AS559" i="5"/>
  <c r="AU559" i="5" s="1"/>
  <c r="AS409" i="5"/>
  <c r="AU409" i="5" s="1"/>
  <c r="AE387" i="5"/>
  <c r="AD409" i="5"/>
  <c r="AF12" i="4"/>
  <c r="AG12" i="4" s="1"/>
  <c r="AI12" i="4" s="1"/>
  <c r="AR11" i="5"/>
  <c r="Y22" i="4"/>
  <c r="Z22" i="4" s="1"/>
  <c r="AA22" i="4" s="1"/>
  <c r="AC22" i="4" s="1"/>
  <c r="AD22" i="4" s="1"/>
  <c r="AE22" i="4"/>
  <c r="AE129" i="4"/>
  <c r="X72" i="4"/>
  <c r="AJ72" i="4" s="1"/>
  <c r="AE72" i="4"/>
  <c r="AO72" i="4"/>
  <c r="AS11" i="5"/>
  <c r="AU11" i="5" s="1"/>
  <c r="Y148" i="4"/>
  <c r="Z148" i="4" s="1"/>
  <c r="AF148" i="4" s="1"/>
  <c r="AE148" i="4"/>
  <c r="Y109" i="4"/>
  <c r="Z109" i="4" s="1"/>
  <c r="AF109" i="4" s="1"/>
  <c r="AE109" i="4"/>
  <c r="AA143" i="4"/>
  <c r="AC143" i="4" s="1"/>
  <c r="AD143" i="4" s="1"/>
  <c r="AT127" i="5"/>
  <c r="AS287" i="5"/>
  <c r="AT287" i="5" s="1"/>
  <c r="AA42" i="4"/>
  <c r="AC42" i="4" s="1"/>
  <c r="AD42" i="4" s="1"/>
  <c r="AQ9" i="5"/>
  <c r="AE79" i="4"/>
  <c r="X129" i="4"/>
  <c r="AJ129" i="4" s="1"/>
  <c r="AF152" i="4"/>
  <c r="AG152" i="4" s="1"/>
  <c r="AI152" i="4" s="1"/>
  <c r="AS249" i="5"/>
  <c r="AU249" i="5" s="1"/>
  <c r="AF67" i="4"/>
  <c r="AG67" i="4" s="1"/>
  <c r="AI67" i="4" s="1"/>
  <c r="AE67" i="4"/>
  <c r="X67" i="4"/>
  <c r="AA67" i="4" s="1"/>
  <c r="AC67" i="4" s="1"/>
  <c r="AD67" i="4" s="1"/>
  <c r="X79" i="4"/>
  <c r="AJ79" i="4" s="1"/>
  <c r="AD130" i="5"/>
  <c r="AD449" i="5"/>
  <c r="X152" i="4"/>
  <c r="AA152" i="4" s="1"/>
  <c r="AC152" i="4" s="1"/>
  <c r="AD152" i="4" s="1"/>
  <c r="AK143" i="4"/>
  <c r="AE152" i="4"/>
  <c r="Y34" i="4"/>
  <c r="Z34" i="4" s="1"/>
  <c r="AE34" i="4"/>
  <c r="X34" i="4"/>
  <c r="AJ34" i="4" s="1"/>
  <c r="X133" i="4"/>
  <c r="AJ133" i="4" s="1"/>
  <c r="AE133" i="4"/>
  <c r="Y133" i="4"/>
  <c r="Z133" i="4" s="1"/>
  <c r="Y21" i="4"/>
  <c r="Z21" i="4" s="1"/>
  <c r="AE21" i="4"/>
  <c r="X21" i="4"/>
  <c r="AJ21" i="4" s="1"/>
  <c r="Y58" i="4"/>
  <c r="Z58" i="4" s="1"/>
  <c r="X58" i="4"/>
  <c r="AJ58" i="4" s="1"/>
  <c r="AE58" i="4"/>
  <c r="Y144" i="4"/>
  <c r="X144" i="4"/>
  <c r="AE144" i="4"/>
  <c r="Y24" i="4"/>
  <c r="Z24" i="4" s="1"/>
  <c r="AE24" i="4"/>
  <c r="X24" i="4"/>
  <c r="Y83" i="4"/>
  <c r="Z83" i="4" s="1"/>
  <c r="AE83" i="4"/>
  <c r="AE62" i="4"/>
  <c r="Y62" i="4"/>
  <c r="Z62" i="4" s="1"/>
  <c r="Y101" i="4"/>
  <c r="Z101" i="4" s="1"/>
  <c r="X101" i="4"/>
  <c r="AJ101" i="4" s="1"/>
  <c r="AE101" i="4"/>
  <c r="AF79" i="4"/>
  <c r="Y132" i="4"/>
  <c r="Z132" i="4" s="1"/>
  <c r="AF132" i="4" s="1"/>
  <c r="AE132" i="4"/>
  <c r="X132" i="4"/>
  <c r="Y94" i="4"/>
  <c r="Z94" i="4" s="1"/>
  <c r="X94" i="4"/>
  <c r="AA140" i="4"/>
  <c r="AC140" i="4" s="1"/>
  <c r="AD140" i="4" s="1"/>
  <c r="AK140" i="4"/>
  <c r="AF140" i="4"/>
  <c r="X62" i="4"/>
  <c r="AJ62" i="4" s="1"/>
  <c r="X83" i="4"/>
  <c r="AJ83" i="4" s="1"/>
  <c r="X141" i="4"/>
  <c r="AJ141" i="4" s="1"/>
  <c r="Y141" i="4"/>
  <c r="AE141" i="4"/>
  <c r="Y59" i="4"/>
  <c r="Z59" i="4" s="1"/>
  <c r="AE59" i="4"/>
  <c r="Y10" i="4"/>
  <c r="Z10" i="4" s="1"/>
  <c r="X10" i="4"/>
  <c r="AJ10" i="4" s="1"/>
  <c r="AE10" i="4"/>
  <c r="Y130" i="4"/>
  <c r="X130" i="4"/>
  <c r="AE130" i="4"/>
  <c r="X155" i="4"/>
  <c r="Y155" i="4"/>
  <c r="AF105" i="4"/>
  <c r="AA105" i="4"/>
  <c r="AC105" i="4" s="1"/>
  <c r="AD105" i="4" s="1"/>
  <c r="AK105" i="4"/>
  <c r="AD287" i="5"/>
  <c r="AD249" i="5"/>
  <c r="AE449" i="5"/>
  <c r="AE292" i="5"/>
  <c r="AS393" i="5"/>
  <c r="AT393" i="5" s="1"/>
  <c r="AS292" i="5"/>
  <c r="AU292" i="5" s="1"/>
  <c r="AS391" i="5"/>
  <c r="AT391" i="5" s="1"/>
  <c r="AD393" i="5"/>
  <c r="AE391" i="5"/>
  <c r="AA84" i="4"/>
  <c r="AC84" i="4" s="1"/>
  <c r="AD84" i="4" s="1"/>
  <c r="AK84" i="4"/>
  <c r="AF84" i="4"/>
  <c r="AE286" i="5"/>
  <c r="AD286" i="5"/>
  <c r="AS162" i="5"/>
  <c r="AT162" i="5" s="1"/>
  <c r="AD123" i="5"/>
  <c r="AD74" i="5"/>
  <c r="AG143" i="4"/>
  <c r="AI143" i="4" s="1"/>
  <c r="AO143" i="4"/>
  <c r="AD11" i="5"/>
  <c r="AG75" i="4"/>
  <c r="AI75" i="4" s="1"/>
  <c r="AE11" i="5"/>
  <c r="AS235" i="5"/>
  <c r="AU235" i="5" s="1"/>
  <c r="AE10" i="5"/>
  <c r="AS10" i="5"/>
  <c r="AU10" i="5" s="1"/>
  <c r="AD235" i="5"/>
  <c r="AE123" i="5"/>
  <c r="AE74" i="5"/>
  <c r="AE162" i="5"/>
  <c r="AS299" i="5"/>
  <c r="AU299" i="5" s="1"/>
  <c r="AA123" i="4"/>
  <c r="AC123" i="4" s="1"/>
  <c r="AD123" i="4" s="1"/>
  <c r="AO108" i="4"/>
  <c r="AK40" i="4"/>
  <c r="AA32" i="4"/>
  <c r="AC32" i="4" s="1"/>
  <c r="AD32" i="4" s="1"/>
  <c r="AD557" i="5"/>
  <c r="AE549" i="5"/>
  <c r="AK123" i="4"/>
  <c r="AE271" i="5"/>
  <c r="AA40" i="4"/>
  <c r="AC40" i="4" s="1"/>
  <c r="AD40" i="4" s="1"/>
  <c r="AR40" i="4" s="1"/>
  <c r="AT40" i="4" s="1"/>
  <c r="AD311" i="5"/>
  <c r="AS8" i="5"/>
  <c r="AT8" i="5" s="1"/>
  <c r="AK99" i="4"/>
  <c r="AS169" i="5"/>
  <c r="AT169" i="5" s="1"/>
  <c r="AE340" i="5"/>
  <c r="AD397" i="5"/>
  <c r="AD538" i="5"/>
  <c r="AE407" i="5"/>
  <c r="AD176" i="5"/>
  <c r="AE311" i="5"/>
  <c r="AE130" i="5"/>
  <c r="AS340" i="5"/>
  <c r="AU340" i="5" s="1"/>
  <c r="AE412" i="5"/>
  <c r="AS271" i="5"/>
  <c r="AT271" i="5" s="1"/>
  <c r="AD445" i="5"/>
  <c r="AS95" i="5"/>
  <c r="AT95" i="5" s="1"/>
  <c r="AE538" i="5"/>
  <c r="AS412" i="5"/>
  <c r="AT412" i="5" s="1"/>
  <c r="AD334" i="5"/>
  <c r="AE445" i="5"/>
  <c r="AD95" i="5"/>
  <c r="AD458" i="5"/>
  <c r="AS79" i="5"/>
  <c r="AT79" i="5" s="1"/>
  <c r="AX78" i="5" s="1"/>
  <c r="AY78" i="5" s="1"/>
  <c r="AE52" i="5"/>
  <c r="AS458" i="5"/>
  <c r="AU458" i="5" s="1"/>
  <c r="AE79" i="5"/>
  <c r="AS52" i="5"/>
  <c r="AU52" i="5" s="1"/>
  <c r="AD233" i="5"/>
  <c r="AE510" i="5"/>
  <c r="AE467" i="5"/>
  <c r="AS233" i="5"/>
  <c r="AU233" i="5" s="1"/>
  <c r="AS396" i="5"/>
  <c r="AT396" i="5" s="1"/>
  <c r="AD169" i="5"/>
  <c r="AS510" i="5"/>
  <c r="AU510" i="5" s="1"/>
  <c r="AD467" i="5"/>
  <c r="AE299" i="5"/>
  <c r="AD396" i="5"/>
  <c r="AE397" i="5"/>
  <c r="AS443" i="5"/>
  <c r="AU443" i="5" s="1"/>
  <c r="AE373" i="5"/>
  <c r="AD448" i="5"/>
  <c r="AS364" i="5"/>
  <c r="AT364" i="5" s="1"/>
  <c r="AE215" i="5"/>
  <c r="AD215" i="5"/>
  <c r="AS549" i="5"/>
  <c r="AU549" i="5" s="1"/>
  <c r="AE557" i="5"/>
  <c r="AE448" i="5"/>
  <c r="AD364" i="5"/>
  <c r="AS56" i="5"/>
  <c r="AU56" i="5" s="1"/>
  <c r="AE370" i="5"/>
  <c r="AE107" i="5"/>
  <c r="AE57" i="5"/>
  <c r="AD39" i="5"/>
  <c r="AS191" i="5"/>
  <c r="AU191" i="5" s="1"/>
  <c r="AE172" i="5"/>
  <c r="AS490" i="5"/>
  <c r="AT490" i="5" s="1"/>
  <c r="AD464" i="5"/>
  <c r="AD373" i="5"/>
  <c r="AS539" i="5"/>
  <c r="AT539" i="5" s="1"/>
  <c r="AD443" i="5"/>
  <c r="AS550" i="5"/>
  <c r="AU550" i="5" s="1"/>
  <c r="AS503" i="5"/>
  <c r="AT503" i="5" s="1"/>
  <c r="AE490" i="5"/>
  <c r="AE539" i="5"/>
  <c r="AE550" i="5"/>
  <c r="AD290" i="5"/>
  <c r="AE464" i="5"/>
  <c r="AE252" i="5"/>
  <c r="AD96" i="5"/>
  <c r="AS154" i="5"/>
  <c r="AU154" i="5" s="1"/>
  <c r="AE290" i="5"/>
  <c r="AD370" i="5"/>
  <c r="AS230" i="5"/>
  <c r="AT230" i="5" s="1"/>
  <c r="AD252" i="5"/>
  <c r="AS96" i="5"/>
  <c r="AU96" i="5" s="1"/>
  <c r="AE154" i="5"/>
  <c r="AD542" i="5"/>
  <c r="AS457" i="5"/>
  <c r="AT457" i="5" s="1"/>
  <c r="AE457" i="5"/>
  <c r="AE230" i="5"/>
  <c r="AS542" i="5"/>
  <c r="AU542" i="5" s="1"/>
  <c r="AD191" i="5"/>
  <c r="AS57" i="5"/>
  <c r="AT57" i="5" s="1"/>
  <c r="AS207" i="5"/>
  <c r="AU207" i="5" s="1"/>
  <c r="AE207" i="5"/>
  <c r="AE212" i="5"/>
  <c r="AD284" i="5"/>
  <c r="AD212" i="5"/>
  <c r="AE418" i="5"/>
  <c r="AE85" i="5"/>
  <c r="AS196" i="5"/>
  <c r="AU196" i="5" s="1"/>
  <c r="AS352" i="5"/>
  <c r="AU352" i="5" s="1"/>
  <c r="AE161" i="5"/>
  <c r="AE64" i="5"/>
  <c r="AD547" i="5"/>
  <c r="AE288" i="5"/>
  <c r="AD187" i="5"/>
  <c r="AD435" i="5"/>
  <c r="AE305" i="5"/>
  <c r="AE187" i="5"/>
  <c r="AS435" i="5"/>
  <c r="AT435" i="5" s="1"/>
  <c r="AD305" i="5"/>
  <c r="AD71" i="5"/>
  <c r="AD315" i="5"/>
  <c r="AS315" i="5"/>
  <c r="AT315" i="5" s="1"/>
  <c r="AE250" i="5"/>
  <c r="AE156" i="5"/>
  <c r="AS346" i="5"/>
  <c r="AT346" i="5" s="1"/>
  <c r="AD149" i="5"/>
  <c r="AE312" i="5"/>
  <c r="AS124" i="5"/>
  <c r="AU124" i="5" s="1"/>
  <c r="AD367" i="5"/>
  <c r="AE124" i="5"/>
  <c r="AE526" i="5"/>
  <c r="AS307" i="5"/>
  <c r="AT307" i="5" s="1"/>
  <c r="AS211" i="5"/>
  <c r="AT211" i="5" s="1"/>
  <c r="AS526" i="5"/>
  <c r="AU526" i="5" s="1"/>
  <c r="AE531" i="5"/>
  <c r="AD312" i="5"/>
  <c r="AD225" i="5"/>
  <c r="AD159" i="5"/>
  <c r="AS330" i="5"/>
  <c r="AT330" i="5" s="1"/>
  <c r="AD485" i="5"/>
  <c r="AS419" i="5"/>
  <c r="AU419" i="5" s="1"/>
  <c r="AD330" i="5"/>
  <c r="AE485" i="5"/>
  <c r="AS139" i="5"/>
  <c r="AT139" i="5" s="1"/>
  <c r="AS185" i="5"/>
  <c r="AT185" i="5" s="1"/>
  <c r="AS519" i="5"/>
  <c r="AU519" i="5" s="1"/>
  <c r="AS227" i="5"/>
  <c r="AU227" i="5" s="1"/>
  <c r="AE246" i="5"/>
  <c r="AE224" i="5"/>
  <c r="AD47" i="5"/>
  <c r="AS487" i="5"/>
  <c r="AU487" i="5" s="1"/>
  <c r="AA124" i="4"/>
  <c r="AC124" i="4" s="1"/>
  <c r="AD124" i="4" s="1"/>
  <c r="AE487" i="5"/>
  <c r="AE326" i="5"/>
  <c r="AD167" i="5"/>
  <c r="AD28" i="5"/>
  <c r="AS326" i="5"/>
  <c r="AU326" i="5" s="1"/>
  <c r="AE118" i="5"/>
  <c r="AE176" i="5"/>
  <c r="AS407" i="5"/>
  <c r="AT407" i="5" s="1"/>
  <c r="AS39" i="5"/>
  <c r="AT39" i="5" s="1"/>
  <c r="AE98" i="5"/>
  <c r="AS172" i="5"/>
  <c r="AU172" i="5" s="1"/>
  <c r="AE284" i="5"/>
  <c r="AS547" i="5"/>
  <c r="AU547" i="5" s="1"/>
  <c r="AD488" i="5"/>
  <c r="AS418" i="5"/>
  <c r="AT418" i="5" s="1"/>
  <c r="AE196" i="5"/>
  <c r="AS357" i="5"/>
  <c r="AU357" i="5" s="1"/>
  <c r="AD358" i="5"/>
  <c r="AS98" i="5"/>
  <c r="AT98" i="5" s="1"/>
  <c r="AE488" i="5"/>
  <c r="AD357" i="5"/>
  <c r="AD144" i="5"/>
  <c r="AS322" i="5"/>
  <c r="AT322" i="5" s="1"/>
  <c r="AE144" i="5"/>
  <c r="AS107" i="5"/>
  <c r="AU107" i="5" s="1"/>
  <c r="AE352" i="5"/>
  <c r="AD85" i="5"/>
  <c r="AD322" i="5"/>
  <c r="AD161" i="5"/>
  <c r="AS64" i="5"/>
  <c r="AT64" i="5" s="1"/>
  <c r="AD8" i="5"/>
  <c r="AD139" i="5"/>
  <c r="AE346" i="5"/>
  <c r="AE423" i="5"/>
  <c r="AE185" i="5"/>
  <c r="AE419" i="5"/>
  <c r="AE159" i="5"/>
  <c r="AE227" i="5"/>
  <c r="AD37" i="5"/>
  <c r="AS246" i="5"/>
  <c r="AU246" i="5" s="1"/>
  <c r="AD524" i="5"/>
  <c r="AS423" i="5"/>
  <c r="AU423" i="5" s="1"/>
  <c r="AE37" i="5"/>
  <c r="AE524" i="5"/>
  <c r="AE319" i="5"/>
  <c r="AE100" i="5"/>
  <c r="AD319" i="5"/>
  <c r="AD273" i="5"/>
  <c r="AE442" i="5"/>
  <c r="AS225" i="5"/>
  <c r="AT225" i="5" s="1"/>
  <c r="AD100" i="5"/>
  <c r="AS273" i="5"/>
  <c r="AT273" i="5" s="1"/>
  <c r="AS281" i="5"/>
  <c r="AT281" i="5" s="1"/>
  <c r="AE408" i="5"/>
  <c r="AS442" i="5"/>
  <c r="AU442" i="5" s="1"/>
  <c r="AD281" i="5"/>
  <c r="AE535" i="5"/>
  <c r="AD86" i="5"/>
  <c r="AS535" i="5"/>
  <c r="AU535" i="5" s="1"/>
  <c r="AE489" i="5"/>
  <c r="AO68" i="4"/>
  <c r="AD489" i="5"/>
  <c r="AS224" i="5"/>
  <c r="AT224" i="5" s="1"/>
  <c r="AE61" i="5"/>
  <c r="AK68" i="4"/>
  <c r="AE355" i="5"/>
  <c r="AE430" i="5"/>
  <c r="AS61" i="5"/>
  <c r="AU61" i="5" s="1"/>
  <c r="AE177" i="5"/>
  <c r="AS28" i="5"/>
  <c r="AU28" i="5" s="1"/>
  <c r="AS355" i="5"/>
  <c r="AT355" i="5" s="1"/>
  <c r="AS430" i="5"/>
  <c r="AU430" i="5" s="1"/>
  <c r="AD256" i="5"/>
  <c r="AE337" i="5"/>
  <c r="AD389" i="5"/>
  <c r="AD56" i="5"/>
  <c r="AD307" i="5"/>
  <c r="AD211" i="5"/>
  <c r="AG103" i="4"/>
  <c r="AI103" i="4" s="1"/>
  <c r="AD87" i="5"/>
  <c r="AE493" i="5"/>
  <c r="AA68" i="4"/>
  <c r="AC68" i="4" s="1"/>
  <c r="AD68" i="4" s="1"/>
  <c r="AA19" i="4"/>
  <c r="AC19" i="4" s="1"/>
  <c r="AD19" i="4" s="1"/>
  <c r="AR19" i="4" s="1"/>
  <c r="AT19" i="4" s="1"/>
  <c r="AS493" i="5"/>
  <c r="AT493" i="5" s="1"/>
  <c r="AS195" i="5"/>
  <c r="AT195" i="5" s="1"/>
  <c r="AS92" i="5"/>
  <c r="AT92" i="5" s="1"/>
  <c r="AK9" i="4"/>
  <c r="AS190" i="5"/>
  <c r="AU190" i="5" s="1"/>
  <c r="AS30" i="5"/>
  <c r="AU30" i="5" s="1"/>
  <c r="AD195" i="5"/>
  <c r="AK103" i="4"/>
  <c r="AE190" i="5"/>
  <c r="AE30" i="5"/>
  <c r="AS41" i="5"/>
  <c r="AU41" i="5" s="1"/>
  <c r="AD439" i="5"/>
  <c r="AK85" i="4"/>
  <c r="AD192" i="5"/>
  <c r="AS86" i="5"/>
  <c r="AT86" i="5" s="1"/>
  <c r="AS177" i="5"/>
  <c r="AT177" i="5" s="1"/>
  <c r="AS164" i="5"/>
  <c r="AU164" i="5" s="1"/>
  <c r="AD164" i="5"/>
  <c r="AE461" i="5"/>
  <c r="AE192" i="5"/>
  <c r="AE347" i="5"/>
  <c r="AE146" i="5"/>
  <c r="AE41" i="5"/>
  <c r="AD51" i="5"/>
  <c r="AS527" i="5"/>
  <c r="AU527" i="5" s="1"/>
  <c r="AD337" i="5"/>
  <c r="AE87" i="5"/>
  <c r="AK82" i="4"/>
  <c r="AD461" i="5"/>
  <c r="AS367" i="5"/>
  <c r="AU367" i="5" s="1"/>
  <c r="AS51" i="5"/>
  <c r="AU51" i="5" s="1"/>
  <c r="AA120" i="4"/>
  <c r="AC120" i="4" s="1"/>
  <c r="AD120" i="4" s="1"/>
  <c r="AA99" i="4"/>
  <c r="AC99" i="4" s="1"/>
  <c r="AD99" i="4" s="1"/>
  <c r="AD527" i="5"/>
  <c r="AK153" i="4"/>
  <c r="AD408" i="5"/>
  <c r="AS389" i="5"/>
  <c r="AT389" i="5" s="1"/>
  <c r="AA103" i="4"/>
  <c r="AC103" i="4" s="1"/>
  <c r="AD103" i="4" s="1"/>
  <c r="AK102" i="4"/>
  <c r="AS368" i="5"/>
  <c r="AT368" i="5" s="1"/>
  <c r="AA9" i="4"/>
  <c r="AC9" i="4" s="1"/>
  <c r="AD9" i="4" s="1"/>
  <c r="AR9" i="4" s="1"/>
  <c r="AT9" i="4" s="1"/>
  <c r="AE368" i="5"/>
  <c r="AE63" i="5"/>
  <c r="AE131" i="5"/>
  <c r="AS131" i="5"/>
  <c r="AT131" i="5" s="1"/>
  <c r="AE167" i="5"/>
  <c r="AK81" i="4"/>
  <c r="AD347" i="5"/>
  <c r="AD146" i="5"/>
  <c r="AD63" i="5"/>
  <c r="AS439" i="5"/>
  <c r="AT439" i="5" s="1"/>
  <c r="AG97" i="4"/>
  <c r="AI97" i="4" s="1"/>
  <c r="AA45" i="4"/>
  <c r="AC45" i="4" s="1"/>
  <c r="AD45" i="4" s="1"/>
  <c r="AA102" i="4"/>
  <c r="AC102" i="4" s="1"/>
  <c r="AD102" i="4" s="1"/>
  <c r="AS156" i="5"/>
  <c r="AU156" i="5" s="1"/>
  <c r="AS71" i="5"/>
  <c r="AT71" i="5" s="1"/>
  <c r="AD170" i="5"/>
  <c r="AE170" i="5"/>
  <c r="AS250" i="5"/>
  <c r="AT250" i="5" s="1"/>
  <c r="AF32" i="4"/>
  <c r="AG32" i="4" s="1"/>
  <c r="AI32" i="4" s="1"/>
  <c r="AA122" i="4"/>
  <c r="AC122" i="4" s="1"/>
  <c r="AD122" i="4" s="1"/>
  <c r="AA74" i="4"/>
  <c r="AC74" i="4" s="1"/>
  <c r="AD74" i="4" s="1"/>
  <c r="AK45" i="4"/>
  <c r="AS415" i="5"/>
  <c r="AU415" i="5" s="1"/>
  <c r="AA60" i="4"/>
  <c r="AC60" i="4" s="1"/>
  <c r="AD60" i="4" s="1"/>
  <c r="AD415" i="5"/>
  <c r="AO45" i="4"/>
  <c r="AD516" i="5"/>
  <c r="AA82" i="4"/>
  <c r="AC82" i="4" s="1"/>
  <c r="AD82" i="4" s="1"/>
  <c r="AR82" i="4" s="1"/>
  <c r="AT82" i="4" s="1"/>
  <c r="AS516" i="5"/>
  <c r="AU516" i="5" s="1"/>
  <c r="AS152" i="5"/>
  <c r="AU152" i="5" s="1"/>
  <c r="AE152" i="5"/>
  <c r="AD288" i="5"/>
  <c r="AK74" i="4"/>
  <c r="AK71" i="4"/>
  <c r="AE149" i="5"/>
  <c r="AF120" i="4"/>
  <c r="AO120" i="4" s="1"/>
  <c r="AS531" i="5"/>
  <c r="AU531" i="5" s="1"/>
  <c r="AE554" i="5"/>
  <c r="AS334" i="5"/>
  <c r="AU334" i="5" s="1"/>
  <c r="AE256" i="5"/>
  <c r="AD554" i="5"/>
  <c r="AK120" i="4"/>
  <c r="AK19" i="4"/>
  <c r="AE258" i="5"/>
  <c r="AE276" i="5"/>
  <c r="AE328" i="5"/>
  <c r="AS358" i="5"/>
  <c r="AU358" i="5" s="1"/>
  <c r="AE519" i="5"/>
  <c r="AD92" i="5"/>
  <c r="AS372" i="5"/>
  <c r="AT372" i="5" s="1"/>
  <c r="AS276" i="5"/>
  <c r="AT276" i="5" s="1"/>
  <c r="AS507" i="5"/>
  <c r="AT507" i="5" s="1"/>
  <c r="AD258" i="5"/>
  <c r="AS328" i="5"/>
  <c r="AT328" i="5" s="1"/>
  <c r="AE507" i="5"/>
  <c r="AK80" i="4"/>
  <c r="AA81" i="4"/>
  <c r="AC81" i="4" s="1"/>
  <c r="AD81" i="4" s="1"/>
  <c r="AF52" i="4"/>
  <c r="AA52" i="4"/>
  <c r="AC52" i="4" s="1"/>
  <c r="AD52" i="4" s="1"/>
  <c r="AE431" i="5"/>
  <c r="AS89" i="5"/>
  <c r="AU89" i="5" s="1"/>
  <c r="AS47" i="5"/>
  <c r="AT47" i="5" s="1"/>
  <c r="AE474" i="5"/>
  <c r="AF116" i="4"/>
  <c r="AK116" i="4"/>
  <c r="AJ108" i="4"/>
  <c r="AK108" i="4"/>
  <c r="AF38" i="4"/>
  <c r="AA38" i="4"/>
  <c r="AC38" i="4" s="1"/>
  <c r="AD38" i="4" s="1"/>
  <c r="AK38" i="4"/>
  <c r="AF63" i="4"/>
  <c r="AA63" i="4"/>
  <c r="AC63" i="4" s="1"/>
  <c r="AD63" i="4" s="1"/>
  <c r="AK63" i="4"/>
  <c r="AO70" i="4"/>
  <c r="AG70" i="4"/>
  <c r="AI70" i="4" s="1"/>
  <c r="AS431" i="5"/>
  <c r="AU431" i="5" s="1"/>
  <c r="AE89" i="5"/>
  <c r="AS474" i="5"/>
  <c r="AT474" i="5" s="1"/>
  <c r="B93" i="2"/>
  <c r="B113" i="2" s="1"/>
  <c r="H25" i="1" s="1"/>
  <c r="AG44" i="4"/>
  <c r="AI44" i="4" s="1"/>
  <c r="AO44" i="4"/>
  <c r="AF137" i="4"/>
  <c r="AK137" i="4"/>
  <c r="AA137" i="4"/>
  <c r="AC137" i="4" s="1"/>
  <c r="AD137" i="4" s="1"/>
  <c r="AA126" i="4"/>
  <c r="AC126" i="4" s="1"/>
  <c r="AD126" i="4" s="1"/>
  <c r="AF126" i="4"/>
  <c r="AK126" i="4"/>
  <c r="AF95" i="4"/>
  <c r="AK95" i="4"/>
  <c r="AA95" i="4"/>
  <c r="AC95" i="4" s="1"/>
  <c r="AD95" i="4" s="1"/>
  <c r="AK64" i="4"/>
  <c r="AF64" i="4"/>
  <c r="AA64" i="4"/>
  <c r="AC64" i="4" s="1"/>
  <c r="AD64" i="4" s="1"/>
  <c r="AS545" i="5"/>
  <c r="AU545" i="5" s="1"/>
  <c r="AD109" i="5"/>
  <c r="AA117" i="4"/>
  <c r="AC117" i="4" s="1"/>
  <c r="AD117" i="4" s="1"/>
  <c r="AA75" i="4"/>
  <c r="AC75" i="4" s="1"/>
  <c r="AD75" i="4" s="1"/>
  <c r="AF86" i="4"/>
  <c r="AA86" i="4"/>
  <c r="AC86" i="4" s="1"/>
  <c r="AD86" i="4" s="1"/>
  <c r="AK86" i="4"/>
  <c r="AJ27" i="4"/>
  <c r="AA27" i="4"/>
  <c r="AC27" i="4" s="1"/>
  <c r="AD27" i="4" s="1"/>
  <c r="AR27" i="4" s="1"/>
  <c r="AT27" i="4" s="1"/>
  <c r="AK27" i="4"/>
  <c r="AF69" i="4"/>
  <c r="AK69" i="4"/>
  <c r="AA69" i="4"/>
  <c r="AC69" i="4" s="1"/>
  <c r="AD69" i="4" s="1"/>
  <c r="AE545" i="5"/>
  <c r="AE109" i="5"/>
  <c r="AD324" i="5"/>
  <c r="AF100" i="4"/>
  <c r="AK100" i="4"/>
  <c r="AA100" i="4"/>
  <c r="AC100" i="4" s="1"/>
  <c r="AD100" i="4" s="1"/>
  <c r="AK30" i="4"/>
  <c r="AA157" i="4"/>
  <c r="AC157" i="4" s="1"/>
  <c r="AD157" i="4" s="1"/>
  <c r="AF157" i="4"/>
  <c r="AK157" i="4"/>
  <c r="AF14" i="4"/>
  <c r="AF150" i="4"/>
  <c r="AA150" i="4"/>
  <c r="AC150" i="4" s="1"/>
  <c r="AD150" i="4" s="1"/>
  <c r="AK150" i="4"/>
  <c r="AA111" i="4"/>
  <c r="AC111" i="4" s="1"/>
  <c r="AD111" i="4" s="1"/>
  <c r="AS84" i="5"/>
  <c r="AT84" i="5" s="1"/>
  <c r="AE454" i="5"/>
  <c r="AA116" i="4"/>
  <c r="AC116" i="4" s="1"/>
  <c r="AD116" i="4" s="1"/>
  <c r="AJ116" i="4"/>
  <c r="AA71" i="4"/>
  <c r="AC71" i="4" s="1"/>
  <c r="AD71" i="4" s="1"/>
  <c r="AR71" i="4" s="1"/>
  <c r="AT71" i="4" s="1"/>
  <c r="AA30" i="4"/>
  <c r="AC30" i="4" s="1"/>
  <c r="AD30" i="4" s="1"/>
  <c r="AR30" i="4" s="1"/>
  <c r="AT30" i="4" s="1"/>
  <c r="AF54" i="4"/>
  <c r="AA54" i="4"/>
  <c r="AC54" i="4" s="1"/>
  <c r="AD54" i="4" s="1"/>
  <c r="AK54" i="4"/>
  <c r="AA44" i="4"/>
  <c r="AC44" i="4" s="1"/>
  <c r="AD44" i="4" s="1"/>
  <c r="AJ44" i="4"/>
  <c r="AK128" i="4"/>
  <c r="AF128" i="4"/>
  <c r="AA128" i="4"/>
  <c r="AC128" i="4" s="1"/>
  <c r="AD128" i="4" s="1"/>
  <c r="AK111" i="4"/>
  <c r="AA66" i="4"/>
  <c r="AC66" i="4" s="1"/>
  <c r="AD66" i="4" s="1"/>
  <c r="AF77" i="4"/>
  <c r="AA77" i="4"/>
  <c r="AC77" i="4" s="1"/>
  <c r="AD77" i="4" s="1"/>
  <c r="AK77" i="4"/>
  <c r="AE324" i="5"/>
  <c r="AE84" i="5"/>
  <c r="AD372" i="5"/>
  <c r="AK122" i="4"/>
  <c r="AD454" i="5"/>
  <c r="AK75" i="4"/>
  <c r="AO123" i="4"/>
  <c r="AG123" i="4"/>
  <c r="AI123" i="4" s="1"/>
  <c r="AA108" i="4"/>
  <c r="AC108" i="4" s="1"/>
  <c r="AD108" i="4" s="1"/>
  <c r="AA8" i="4"/>
  <c r="AC8" i="4" s="1"/>
  <c r="AD8" i="4" s="1"/>
  <c r="AF8" i="4"/>
  <c r="AK8" i="4"/>
  <c r="AF7" i="4"/>
  <c r="AK7" i="4"/>
  <c r="AA7" i="4"/>
  <c r="AC7" i="4" s="1"/>
  <c r="AD7" i="4" s="1"/>
  <c r="AA134" i="4"/>
  <c r="AC134" i="4" s="1"/>
  <c r="AD134" i="4" s="1"/>
  <c r="AF134" i="4"/>
  <c r="AK134" i="4"/>
  <c r="AA93" i="4"/>
  <c r="AC93" i="4" s="1"/>
  <c r="AD93" i="4" s="1"/>
  <c r="AF93" i="4"/>
  <c r="AK93" i="4"/>
  <c r="AO111" i="4"/>
  <c r="AG111" i="4"/>
  <c r="AI111" i="4" s="1"/>
  <c r="AK52" i="4"/>
  <c r="AA80" i="4"/>
  <c r="AC80" i="4" s="1"/>
  <c r="AD80" i="4" s="1"/>
  <c r="AF127" i="4"/>
  <c r="AA127" i="4"/>
  <c r="AC127" i="4" s="1"/>
  <c r="AD127" i="4" s="1"/>
  <c r="AK127" i="4"/>
  <c r="AF135" i="4"/>
  <c r="AJ70" i="4"/>
  <c r="AA70" i="4"/>
  <c r="AC70" i="4" s="1"/>
  <c r="AD70" i="4" s="1"/>
  <c r="AF35" i="4"/>
  <c r="AA35" i="4"/>
  <c r="AC35" i="4" s="1"/>
  <c r="AD35" i="4" s="1"/>
  <c r="AK35" i="4"/>
  <c r="AF23" i="4"/>
  <c r="AA23" i="4"/>
  <c r="AC23" i="4" s="1"/>
  <c r="AD23" i="4" s="1"/>
  <c r="AK23" i="4"/>
  <c r="AD118" i="5"/>
  <c r="AS242" i="5"/>
  <c r="AU242" i="5" s="1"/>
  <c r="AE91" i="5"/>
  <c r="AE242" i="5"/>
  <c r="AE484" i="5"/>
  <c r="AS88" i="5"/>
  <c r="AU88" i="5" s="1"/>
  <c r="AD91" i="5"/>
  <c r="AS497" i="5"/>
  <c r="AU497" i="5" s="1"/>
  <c r="AD484" i="5"/>
  <c r="AD88" i="5"/>
  <c r="AD497" i="5"/>
  <c r="AD503" i="5"/>
  <c r="AE9" i="5"/>
  <c r="AS9" i="5"/>
  <c r="AD9" i="5"/>
  <c r="AO85" i="4"/>
  <c r="AK89" i="4"/>
  <c r="AK65" i="4"/>
  <c r="AO81" i="4"/>
  <c r="AA151" i="4"/>
  <c r="AC151" i="4" s="1"/>
  <c r="AD151" i="4" s="1"/>
  <c r="AR151" i="4" s="1"/>
  <c r="AT151" i="4" s="1"/>
  <c r="AG49" i="4"/>
  <c r="AI49" i="4" s="1"/>
  <c r="AA153" i="4"/>
  <c r="AC153" i="4" s="1"/>
  <c r="AD153" i="4" s="1"/>
  <c r="AK117" i="4"/>
  <c r="AK151" i="4"/>
  <c r="AG114" i="4"/>
  <c r="AI114" i="4" s="1"/>
  <c r="AK124" i="4"/>
  <c r="AK13" i="4"/>
  <c r="AG43" i="4"/>
  <c r="AI43" i="4" s="1"/>
  <c r="AA13" i="4"/>
  <c r="AC13" i="4" s="1"/>
  <c r="AD13" i="4" s="1"/>
  <c r="AO17" i="4"/>
  <c r="AK92" i="4"/>
  <c r="AA65" i="4"/>
  <c r="AC65" i="4" s="1"/>
  <c r="AD65" i="4" s="1"/>
  <c r="AG149" i="4"/>
  <c r="AI149" i="4" s="1"/>
  <c r="AK51" i="4"/>
  <c r="AA89" i="4"/>
  <c r="AC89" i="4" s="1"/>
  <c r="AD89" i="4" s="1"/>
  <c r="AR89" i="4" s="1"/>
  <c r="AT89" i="4" s="1"/>
  <c r="AA17" i="4"/>
  <c r="AC17" i="4" s="1"/>
  <c r="AD17" i="4" s="1"/>
  <c r="AK136" i="4"/>
  <c r="AG139" i="4"/>
  <c r="AI139" i="4" s="1"/>
  <c r="AR139" i="4" s="1"/>
  <c r="AT139" i="4" s="1"/>
  <c r="AA92" i="4"/>
  <c r="AC92" i="4" s="1"/>
  <c r="AD92" i="4" s="1"/>
  <c r="AK97" i="4"/>
  <c r="AK17" i="4"/>
  <c r="AA48" i="4"/>
  <c r="AC48" i="4" s="1"/>
  <c r="AD48" i="4" s="1"/>
  <c r="AA51" i="4"/>
  <c r="AC51" i="4" s="1"/>
  <c r="AD51" i="4" s="1"/>
  <c r="AK55" i="4"/>
  <c r="AA97" i="4"/>
  <c r="AC97" i="4" s="1"/>
  <c r="AD97" i="4" s="1"/>
  <c r="AA136" i="4"/>
  <c r="AC136" i="4" s="1"/>
  <c r="AD136" i="4" s="1"/>
  <c r="AR136" i="4" s="1"/>
  <c r="AT136" i="4" s="1"/>
  <c r="AA85" i="4"/>
  <c r="AC85" i="4" s="1"/>
  <c r="AD85" i="4" s="1"/>
  <c r="AA90" i="4"/>
  <c r="AC90" i="4" s="1"/>
  <c r="AD90" i="4" s="1"/>
  <c r="AK138" i="4"/>
  <c r="AJ25" i="4"/>
  <c r="AA25" i="4"/>
  <c r="AC25" i="4" s="1"/>
  <c r="AD25" i="4" s="1"/>
  <c r="AR25" i="4" s="1"/>
  <c r="AT25" i="4" s="1"/>
  <c r="AA113" i="4"/>
  <c r="AC113" i="4" s="1"/>
  <c r="AD113" i="4" s="1"/>
  <c r="AA114" i="4"/>
  <c r="AC114" i="4" s="1"/>
  <c r="AD114" i="4" s="1"/>
  <c r="AA138" i="4"/>
  <c r="AC138" i="4" s="1"/>
  <c r="AD138" i="4" s="1"/>
  <c r="AJ104" i="4"/>
  <c r="AA104" i="4"/>
  <c r="AC104" i="4" s="1"/>
  <c r="AD104" i="4" s="1"/>
  <c r="AK114" i="4"/>
  <c r="AK16" i="4"/>
  <c r="AJ41" i="4"/>
  <c r="AA41" i="4"/>
  <c r="AC41" i="4" s="1"/>
  <c r="AD41" i="4" s="1"/>
  <c r="AR41" i="4" s="1"/>
  <c r="AT41" i="4" s="1"/>
  <c r="AA55" i="4"/>
  <c r="AC55" i="4" s="1"/>
  <c r="AD55" i="4" s="1"/>
  <c r="AK113" i="4"/>
  <c r="AA131" i="4"/>
  <c r="AC131" i="4" s="1"/>
  <c r="AD131" i="4" s="1"/>
  <c r="AR87" i="4"/>
  <c r="AT87" i="4" s="1"/>
  <c r="AR98" i="4"/>
  <c r="AT98" i="4" s="1"/>
  <c r="AR36" i="4"/>
  <c r="AT36" i="4" s="1"/>
  <c r="AR106" i="4"/>
  <c r="AT106" i="4" s="1"/>
  <c r="AO48" i="4"/>
  <c r="AG48" i="4"/>
  <c r="AI48" i="4" s="1"/>
  <c r="AG131" i="4"/>
  <c r="AI131" i="4" s="1"/>
  <c r="AO131" i="4"/>
  <c r="AG90" i="4"/>
  <c r="AI90" i="4" s="1"/>
  <c r="AO90" i="4"/>
  <c r="AJ31" i="4"/>
  <c r="AK31" i="4"/>
  <c r="AG117" i="4"/>
  <c r="AI117" i="4" s="1"/>
  <c r="AO117" i="4"/>
  <c r="AT7" i="5"/>
  <c r="AU7" i="5"/>
  <c r="AT83" i="5"/>
  <c r="AU83" i="5"/>
  <c r="AT146" i="5"/>
  <c r="AU146" i="5"/>
  <c r="AO57" i="4"/>
  <c r="AG57" i="4"/>
  <c r="AI57" i="4" s="1"/>
  <c r="AU500" i="5"/>
  <c r="AT500" i="5"/>
  <c r="AU294" i="5"/>
  <c r="AT294" i="5"/>
  <c r="AF73" i="4"/>
  <c r="AK73" i="4"/>
  <c r="AJ28" i="4"/>
  <c r="AK28" i="4"/>
  <c r="AJ36" i="4"/>
  <c r="AK36" i="4"/>
  <c r="AT109" i="5"/>
  <c r="AU109" i="5"/>
  <c r="AT337" i="5"/>
  <c r="AU337" i="5"/>
  <c r="AG104" i="4"/>
  <c r="AI104" i="4" s="1"/>
  <c r="AO104" i="4"/>
  <c r="AT434" i="5"/>
  <c r="AU434" i="5"/>
  <c r="AU424" i="5"/>
  <c r="AT424" i="5"/>
  <c r="AU171" i="5"/>
  <c r="AT171" i="5"/>
  <c r="AJ154" i="4"/>
  <c r="AK154" i="4"/>
  <c r="AT208" i="5"/>
  <c r="AU208" i="5"/>
  <c r="AU118" i="5"/>
  <c r="AT118" i="5"/>
  <c r="AU522" i="5"/>
  <c r="AT522" i="5"/>
  <c r="AG138" i="4"/>
  <c r="AI138" i="4" s="1"/>
  <c r="AO138" i="4"/>
  <c r="AT317" i="5"/>
  <c r="AU317" i="5"/>
  <c r="AJ115" i="4"/>
  <c r="AK115" i="4"/>
  <c r="AT461" i="5"/>
  <c r="AU461" i="5"/>
  <c r="AU159" i="5"/>
  <c r="AT159" i="5"/>
  <c r="AU303" i="5"/>
  <c r="AT303" i="5"/>
  <c r="AT520" i="5"/>
  <c r="AU520" i="5"/>
  <c r="AT347" i="5"/>
  <c r="AU347" i="5"/>
  <c r="AO33" i="4"/>
  <c r="AG33" i="4"/>
  <c r="AI33" i="4" s="1"/>
  <c r="AT101" i="5"/>
  <c r="AU101" i="5"/>
  <c r="AU495" i="5"/>
  <c r="AT495" i="5"/>
  <c r="AJ119" i="4"/>
  <c r="AK119" i="4"/>
  <c r="AT544" i="5"/>
  <c r="AU544" i="5"/>
  <c r="AT33" i="5"/>
  <c r="AU33" i="5"/>
  <c r="AU413" i="5"/>
  <c r="AT413" i="5"/>
  <c r="AU279" i="5"/>
  <c r="AT279" i="5"/>
  <c r="AJ32" i="4"/>
  <c r="AK32" i="4"/>
  <c r="AA16" i="4"/>
  <c r="AC16" i="4" s="1"/>
  <c r="AD16" i="4" s="1"/>
  <c r="AG51" i="4"/>
  <c r="AI51" i="4" s="1"/>
  <c r="AO51" i="4"/>
  <c r="AU135" i="5"/>
  <c r="AT135" i="5"/>
  <c r="AU251" i="5"/>
  <c r="AT251" i="5"/>
  <c r="AT180" i="5"/>
  <c r="AU180" i="5"/>
  <c r="AE13" i="5"/>
  <c r="AD13" i="5"/>
  <c r="AS13" i="5"/>
  <c r="AJ131" i="4"/>
  <c r="AK131" i="4"/>
  <c r="AO147" i="4"/>
  <c r="AG147" i="4"/>
  <c r="AI147" i="4" s="1"/>
  <c r="AO60" i="4"/>
  <c r="AG60" i="4"/>
  <c r="AI60" i="4" s="1"/>
  <c r="AU173" i="5"/>
  <c r="AT173" i="5"/>
  <c r="AR31" i="4"/>
  <c r="AT31" i="4" s="1"/>
  <c r="AJ78" i="4"/>
  <c r="AK78" i="4"/>
  <c r="AU183" i="5"/>
  <c r="AT183" i="5"/>
  <c r="AX182" i="5" s="1"/>
  <c r="AY182" i="5" s="1"/>
  <c r="AT392" i="5"/>
  <c r="AU392" i="5"/>
  <c r="AT464" i="5"/>
  <c r="AU464" i="5"/>
  <c r="AJ60" i="4"/>
  <c r="AK60" i="4"/>
  <c r="AJ139" i="4"/>
  <c r="AK139" i="4"/>
  <c r="AG121" i="4"/>
  <c r="AI121" i="4" s="1"/>
  <c r="AO121" i="4"/>
  <c r="AU100" i="5"/>
  <c r="AT100" i="5"/>
  <c r="AT160" i="5"/>
  <c r="AU160" i="5"/>
  <c r="AU167" i="5"/>
  <c r="AT167" i="5"/>
  <c r="AT286" i="5"/>
  <c r="AU286" i="5"/>
  <c r="AU362" i="5"/>
  <c r="AT362" i="5"/>
  <c r="AO107" i="4"/>
  <c r="AG107" i="4"/>
  <c r="AI107" i="4" s="1"/>
  <c r="AJ121" i="4"/>
  <c r="AK121" i="4"/>
  <c r="AU264" i="5"/>
  <c r="AT264" i="5"/>
  <c r="AJ53" i="4"/>
  <c r="AK53" i="4"/>
  <c r="AT479" i="5"/>
  <c r="AU479" i="5"/>
  <c r="AG153" i="4"/>
  <c r="AI153" i="4" s="1"/>
  <c r="AO153" i="4"/>
  <c r="AR112" i="4"/>
  <c r="AT112" i="4" s="1"/>
  <c r="AT454" i="5"/>
  <c r="AU454" i="5"/>
  <c r="AT34" i="5"/>
  <c r="AU34" i="5"/>
  <c r="AO80" i="4"/>
  <c r="AG80" i="4"/>
  <c r="AI80" i="4" s="1"/>
  <c r="AT187" i="5"/>
  <c r="AU187" i="5"/>
  <c r="AT223" i="5"/>
  <c r="AU223" i="5"/>
  <c r="AU449" i="5"/>
  <c r="AT449" i="5"/>
  <c r="AT181" i="5"/>
  <c r="AU181" i="5"/>
  <c r="AT206" i="5"/>
  <c r="AU206" i="5"/>
  <c r="AU481" i="5"/>
  <c r="AT481" i="5"/>
  <c r="AU136" i="5"/>
  <c r="AT136" i="5"/>
  <c r="AG13" i="4"/>
  <c r="AI13" i="4" s="1"/>
  <c r="AO13" i="4"/>
  <c r="AU258" i="5"/>
  <c r="AT258" i="5"/>
  <c r="AX257" i="5" s="1"/>
  <c r="AY257" i="5" s="1"/>
  <c r="AT397" i="5"/>
  <c r="AU397" i="5"/>
  <c r="AU252" i="5"/>
  <c r="AT252" i="5"/>
  <c r="AJ147" i="4"/>
  <c r="AK147" i="4"/>
  <c r="AU254" i="5"/>
  <c r="AT254" i="5"/>
  <c r="AU365" i="5"/>
  <c r="AT365" i="5"/>
  <c r="AU85" i="5"/>
  <c r="AT85" i="5"/>
  <c r="AU165" i="5"/>
  <c r="AT165" i="5"/>
  <c r="AG113" i="4"/>
  <c r="AI113" i="4" s="1"/>
  <c r="AO113" i="4"/>
  <c r="AT448" i="5"/>
  <c r="AU448" i="5"/>
  <c r="AT161" i="5"/>
  <c r="AU161" i="5"/>
  <c r="AJ110" i="4"/>
  <c r="AK110" i="4"/>
  <c r="AT331" i="5"/>
  <c r="AU331" i="5"/>
  <c r="AU395" i="5"/>
  <c r="AT395" i="5"/>
  <c r="AT282" i="5"/>
  <c r="AU282" i="5"/>
  <c r="AT192" i="5"/>
  <c r="AU192" i="5"/>
  <c r="AU456" i="5"/>
  <c r="AT456" i="5"/>
  <c r="AU329" i="5"/>
  <c r="AT329" i="5"/>
  <c r="AU515" i="5"/>
  <c r="AT515" i="5"/>
  <c r="AT43" i="5"/>
  <c r="AU43" i="5"/>
  <c r="AU538" i="5"/>
  <c r="AT538" i="5"/>
  <c r="AT521" i="5"/>
  <c r="AU521" i="5"/>
  <c r="AU408" i="5"/>
  <c r="AT408" i="5"/>
  <c r="AU274" i="5"/>
  <c r="AT274" i="5"/>
  <c r="AG129" i="4"/>
  <c r="AI129" i="4" s="1"/>
  <c r="AO129" i="4"/>
  <c r="AF91" i="4"/>
  <c r="AK91" i="4"/>
  <c r="AO88" i="4"/>
  <c r="AG88" i="4"/>
  <c r="AI88" i="4" s="1"/>
  <c r="AU142" i="5"/>
  <c r="AT142" i="5"/>
  <c r="AU333" i="5"/>
  <c r="AT333" i="5"/>
  <c r="AT221" i="5"/>
  <c r="AU221" i="5"/>
  <c r="AT170" i="5"/>
  <c r="AU170" i="5"/>
  <c r="AU460" i="5"/>
  <c r="AT460" i="5"/>
  <c r="AU253" i="5"/>
  <c r="AT253" i="5"/>
  <c r="AJ88" i="4"/>
  <c r="AK88" i="4"/>
  <c r="AT298" i="5"/>
  <c r="AU298" i="5"/>
  <c r="AG99" i="4"/>
  <c r="AI99" i="4" s="1"/>
  <c r="AO99" i="4"/>
  <c r="AO124" i="4"/>
  <c r="AG124" i="4"/>
  <c r="AI124" i="4" s="1"/>
  <c r="AT554" i="5"/>
  <c r="AU554" i="5"/>
  <c r="AG145" i="4"/>
  <c r="AI145" i="4" s="1"/>
  <c r="AO145" i="4"/>
  <c r="AJ56" i="4"/>
  <c r="AK56" i="4"/>
  <c r="AT491" i="5"/>
  <c r="AU491" i="5"/>
  <c r="AJ149" i="4"/>
  <c r="AK149" i="4"/>
  <c r="AU348" i="5"/>
  <c r="AT348" i="5"/>
  <c r="AT485" i="5"/>
  <c r="AU485" i="5"/>
  <c r="AU87" i="5"/>
  <c r="AT87" i="5"/>
  <c r="AU432" i="5"/>
  <c r="AT432" i="5"/>
  <c r="AJ146" i="4"/>
  <c r="AK146" i="4"/>
  <c r="AG56" i="4"/>
  <c r="AI56" i="4" s="1"/>
  <c r="AO56" i="4"/>
  <c r="AU467" i="5"/>
  <c r="AT467" i="5"/>
  <c r="AT269" i="5"/>
  <c r="AU269" i="5"/>
  <c r="AR53" i="4"/>
  <c r="AT53" i="4" s="1"/>
  <c r="AJ156" i="4"/>
  <c r="AK156" i="4"/>
  <c r="AU121" i="5"/>
  <c r="AT121" i="5"/>
  <c r="AU288" i="5"/>
  <c r="AT288" i="5"/>
  <c r="AU203" i="5"/>
  <c r="AT203" i="5"/>
  <c r="AU488" i="5"/>
  <c r="AT488" i="5"/>
  <c r="AU429" i="5"/>
  <c r="AT429" i="5"/>
  <c r="AU260" i="5"/>
  <c r="AT260" i="5"/>
  <c r="AT290" i="5"/>
  <c r="AU290" i="5"/>
  <c r="AT37" i="5"/>
  <c r="AU37" i="5"/>
  <c r="AJ106" i="4"/>
  <c r="AK106" i="4"/>
  <c r="AU40" i="5"/>
  <c r="AT40" i="5"/>
  <c r="AU144" i="5"/>
  <c r="AT144" i="5"/>
  <c r="AA11" i="4"/>
  <c r="AC11" i="4" s="1"/>
  <c r="AD11" i="4" s="1"/>
  <c r="AT557" i="5"/>
  <c r="AU557" i="5"/>
  <c r="AU482" i="5"/>
  <c r="AT482" i="5"/>
  <c r="AT176" i="5"/>
  <c r="AX175" i="5" s="1"/>
  <c r="AY175" i="5" s="1"/>
  <c r="AU176" i="5"/>
  <c r="AU311" i="5"/>
  <c r="AT311" i="5"/>
  <c r="AT149" i="5"/>
  <c r="AU149" i="5"/>
  <c r="AJ33" i="4"/>
  <c r="AK33" i="4"/>
  <c r="AU471" i="5"/>
  <c r="AT471" i="5"/>
  <c r="AG146" i="4"/>
  <c r="AI146" i="4" s="1"/>
  <c r="AO146" i="4"/>
  <c r="AU341" i="5"/>
  <c r="AT341" i="5"/>
  <c r="AO42" i="4"/>
  <c r="AG42" i="4"/>
  <c r="AI42" i="4" s="1"/>
  <c r="AU338" i="5"/>
  <c r="AT338" i="5"/>
  <c r="AU498" i="5"/>
  <c r="AT498" i="5"/>
  <c r="AU417" i="5"/>
  <c r="AT417" i="5"/>
  <c r="AG28" i="4"/>
  <c r="AI28" i="4" s="1"/>
  <c r="AO28" i="4"/>
  <c r="AT525" i="5"/>
  <c r="AU525" i="5"/>
  <c r="AT275" i="5"/>
  <c r="AU275" i="5"/>
  <c r="AU422" i="5"/>
  <c r="AT422" i="5"/>
  <c r="AT343" i="5"/>
  <c r="AU343" i="5"/>
  <c r="AU280" i="5"/>
  <c r="AT280" i="5"/>
  <c r="AU319" i="5"/>
  <c r="AT319" i="5"/>
  <c r="AT74" i="5"/>
  <c r="AU74" i="5"/>
  <c r="AT465" i="5"/>
  <c r="AU465" i="5"/>
  <c r="AG29" i="4"/>
  <c r="AI29" i="4" s="1"/>
  <c r="AO29" i="4"/>
  <c r="AU427" i="5"/>
  <c r="AT427" i="5"/>
  <c r="AU268" i="5"/>
  <c r="AT268" i="5"/>
  <c r="AT304" i="5"/>
  <c r="AU304" i="5"/>
  <c r="AU386" i="5"/>
  <c r="AT386" i="5"/>
  <c r="AJ48" i="4"/>
  <c r="AK48" i="4"/>
  <c r="AT459" i="5"/>
  <c r="AU459" i="5"/>
  <c r="AG154" i="4"/>
  <c r="AI154" i="4" s="1"/>
  <c r="AO154" i="4"/>
  <c r="AT70" i="5"/>
  <c r="AU70" i="5"/>
  <c r="AT339" i="5"/>
  <c r="AU339" i="5"/>
  <c r="AU342" i="5"/>
  <c r="AT342" i="5"/>
  <c r="AU256" i="5"/>
  <c r="AT256" i="5"/>
  <c r="AG15" i="4"/>
  <c r="AI15" i="4" s="1"/>
  <c r="AO15" i="4"/>
  <c r="AK11" i="4"/>
  <c r="AT296" i="5"/>
  <c r="AU296" i="5"/>
  <c r="AU489" i="5"/>
  <c r="AT489" i="5"/>
  <c r="AU232" i="5"/>
  <c r="AT232" i="5"/>
  <c r="AU262" i="5"/>
  <c r="AT262" i="5"/>
  <c r="AU499" i="5"/>
  <c r="AT499" i="5"/>
  <c r="AJ90" i="4"/>
  <c r="AK90" i="4"/>
  <c r="AJ112" i="4"/>
  <c r="AK112" i="4"/>
  <c r="AU216" i="5"/>
  <c r="AT216" i="5"/>
  <c r="AU130" i="5"/>
  <c r="AT130" i="5"/>
  <c r="AO115" i="4"/>
  <c r="AG115" i="4"/>
  <c r="AI115" i="4" s="1"/>
  <c r="AT69" i="5"/>
  <c r="AU69" i="5"/>
  <c r="AU189" i="5"/>
  <c r="AT189" i="5"/>
  <c r="AJ43" i="4"/>
  <c r="AK43" i="4"/>
  <c r="AG92" i="4"/>
  <c r="AI92" i="4" s="1"/>
  <c r="AO92" i="4"/>
  <c r="AG119" i="4"/>
  <c r="AI119" i="4" s="1"/>
  <c r="AO119" i="4"/>
  <c r="AG65" i="4"/>
  <c r="AI65" i="4" s="1"/>
  <c r="AO65" i="4"/>
  <c r="AG110" i="4"/>
  <c r="AI110" i="4" s="1"/>
  <c r="AO110" i="4"/>
  <c r="AJ50" i="4"/>
  <c r="AK50" i="4"/>
  <c r="AJ87" i="4"/>
  <c r="AK87" i="4"/>
  <c r="AU433" i="5"/>
  <c r="AT433" i="5"/>
  <c r="AJ29" i="4"/>
  <c r="AK29" i="4"/>
  <c r="AT356" i="5"/>
  <c r="AU356" i="5"/>
  <c r="AU123" i="5"/>
  <c r="AT123" i="5"/>
  <c r="AT506" i="5"/>
  <c r="AU506" i="5"/>
  <c r="AO55" i="4"/>
  <c r="AG55" i="4"/>
  <c r="AI55" i="4" s="1"/>
  <c r="AU373" i="5"/>
  <c r="AT373" i="5"/>
  <c r="AJ42" i="4"/>
  <c r="AK42" i="4"/>
  <c r="AU215" i="5"/>
  <c r="AT215" i="5"/>
  <c r="AT484" i="5"/>
  <c r="AU484" i="5"/>
  <c r="AT332" i="5"/>
  <c r="AU332" i="5"/>
  <c r="AU151" i="5"/>
  <c r="AT151" i="5"/>
  <c r="AT436" i="5"/>
  <c r="AU436" i="5"/>
  <c r="AU371" i="5"/>
  <c r="AT371" i="5"/>
  <c r="AU399" i="5"/>
  <c r="AT399" i="5"/>
  <c r="AJ49" i="4"/>
  <c r="AK49" i="4"/>
  <c r="AT553" i="5"/>
  <c r="AU553" i="5"/>
  <c r="AT63" i="5"/>
  <c r="AU63" i="5"/>
  <c r="AT450" i="5"/>
  <c r="AU450" i="5"/>
  <c r="AU524" i="5"/>
  <c r="AT524" i="5"/>
  <c r="AR78" i="4"/>
  <c r="AT78" i="4" s="1"/>
  <c r="AG11" i="4"/>
  <c r="AI11" i="4" s="1"/>
  <c r="AO11" i="4"/>
  <c r="AT536" i="5"/>
  <c r="AU536" i="5"/>
  <c r="AU91" i="5"/>
  <c r="AT91" i="5"/>
  <c r="AU380" i="5"/>
  <c r="AT380" i="5"/>
  <c r="AU324" i="5"/>
  <c r="AT324" i="5"/>
  <c r="AT237" i="5"/>
  <c r="AU237" i="5"/>
  <c r="AU80" i="5"/>
  <c r="AT80" i="5"/>
  <c r="AQ13" i="5"/>
  <c r="AR13" i="5"/>
  <c r="AU59" i="5"/>
  <c r="AT59" i="5"/>
  <c r="AJ107" i="4"/>
  <c r="AK107" i="4"/>
  <c r="AT261" i="5"/>
  <c r="AU261" i="5"/>
  <c r="AU125" i="5"/>
  <c r="AT125" i="5"/>
  <c r="AU305" i="5"/>
  <c r="AT305" i="5"/>
  <c r="AG122" i="4"/>
  <c r="AI122" i="4" s="1"/>
  <c r="AO122" i="4"/>
  <c r="AT117" i="5"/>
  <c r="AU117" i="5"/>
  <c r="AT543" i="5"/>
  <c r="AU543" i="5"/>
  <c r="AU38" i="5"/>
  <c r="AT38" i="5"/>
  <c r="AG50" i="4"/>
  <c r="AI50" i="4" s="1"/>
  <c r="AO50" i="4"/>
  <c r="AU241" i="5"/>
  <c r="AT241" i="5"/>
  <c r="AU312" i="5"/>
  <c r="AT312" i="5"/>
  <c r="AT284" i="5"/>
  <c r="AU284" i="5"/>
  <c r="AU381" i="5"/>
  <c r="AT381" i="5"/>
  <c r="AU212" i="5"/>
  <c r="AT212" i="5"/>
  <c r="AT512" i="5"/>
  <c r="AU512" i="5"/>
  <c r="AT445" i="5"/>
  <c r="AU445" i="5"/>
  <c r="AT112" i="5"/>
  <c r="AU112" i="5"/>
  <c r="AU370" i="5"/>
  <c r="AT370" i="5"/>
  <c r="AU133" i="5"/>
  <c r="AT133" i="5"/>
  <c r="AG156" i="4"/>
  <c r="AI156" i="4" s="1"/>
  <c r="AO156" i="4"/>
  <c r="AT266" i="5"/>
  <c r="AU266" i="5"/>
  <c r="AO16" i="4"/>
  <c r="AG16" i="4"/>
  <c r="AI16" i="4" s="1"/>
  <c r="AR49" i="4" l="1"/>
  <c r="AT49" i="4" s="1"/>
  <c r="AA47" i="4"/>
  <c r="AC47" i="4" s="1"/>
  <c r="AD47" i="4" s="1"/>
  <c r="AF47" i="4"/>
  <c r="AO47" i="4" s="1"/>
  <c r="AA76" i="4"/>
  <c r="AC76" i="4" s="1"/>
  <c r="AD76" i="4" s="1"/>
  <c r="AF76" i="4"/>
  <c r="AR74" i="4"/>
  <c r="AT74" i="4" s="1"/>
  <c r="AR102" i="4"/>
  <c r="AT102" i="4" s="1"/>
  <c r="AR96" i="4"/>
  <c r="AT96" i="4" s="1"/>
  <c r="AR118" i="4"/>
  <c r="AT118" i="4" s="1"/>
  <c r="AK18" i="4"/>
  <c r="AK12" i="4"/>
  <c r="AU537" i="5"/>
  <c r="AU376" i="5"/>
  <c r="AT379" i="5"/>
  <c r="AX379" i="5" s="1"/>
  <c r="AY379" i="5" s="1"/>
  <c r="AT523" i="5"/>
  <c r="AX45" i="5"/>
  <c r="AY45" i="5" s="1"/>
  <c r="AT446" i="5"/>
  <c r="AX445" i="5" s="1"/>
  <c r="AY445" i="5" s="1"/>
  <c r="AT546" i="5"/>
  <c r="AT508" i="5"/>
  <c r="AX507" i="5" s="1"/>
  <c r="AY507" i="5" s="1"/>
  <c r="AU426" i="5"/>
  <c r="AA18" i="4"/>
  <c r="AC18" i="4" s="1"/>
  <c r="AD18" i="4" s="1"/>
  <c r="AR18" i="4" s="1"/>
  <c r="AT18" i="4" s="1"/>
  <c r="AX115" i="5"/>
  <c r="AY115" i="5" s="1"/>
  <c r="AT234" i="5"/>
  <c r="AU49" i="5"/>
  <c r="AU200" i="5"/>
  <c r="AU26" i="5"/>
  <c r="AA145" i="4"/>
  <c r="AC145" i="4" s="1"/>
  <c r="AD145" i="4" s="1"/>
  <c r="AU345" i="5"/>
  <c r="AT483" i="5"/>
  <c r="AX483" i="5" s="1"/>
  <c r="AY483" i="5" s="1"/>
  <c r="AK145" i="4"/>
  <c r="AX23" i="5"/>
  <c r="AY23" i="5" s="1"/>
  <c r="AU23" i="5"/>
  <c r="AK66" i="4"/>
  <c r="AF37" i="4"/>
  <c r="AO37" i="4" s="1"/>
  <c r="AU289" i="5"/>
  <c r="AX97" i="5"/>
  <c r="AY97" i="5" s="1"/>
  <c r="AK37" i="4"/>
  <c r="AT530" i="5"/>
  <c r="AX184" i="5"/>
  <c r="AY184" i="5" s="1"/>
  <c r="AU534" i="5"/>
  <c r="AT105" i="5"/>
  <c r="AX105" i="5" s="1"/>
  <c r="AY105" i="5" s="1"/>
  <c r="AT463" i="5"/>
  <c r="AX463" i="5" s="1"/>
  <c r="AY463" i="5" s="1"/>
  <c r="AU265" i="5"/>
  <c r="AU97" i="5"/>
  <c r="AT243" i="5"/>
  <c r="AU226" i="5"/>
  <c r="AT213" i="5"/>
  <c r="AX212" i="5" s="1"/>
  <c r="AY212" i="5" s="1"/>
  <c r="AU532" i="5"/>
  <c r="AT540" i="5"/>
  <c r="AX539" i="5" s="1"/>
  <c r="AY539" i="5" s="1"/>
  <c r="AT470" i="5"/>
  <c r="AX470" i="5" s="1"/>
  <c r="AY470" i="5" s="1"/>
  <c r="AT469" i="5"/>
  <c r="AU509" i="5"/>
  <c r="AU184" i="5"/>
  <c r="AA46" i="4"/>
  <c r="AC46" i="4" s="1"/>
  <c r="AD46" i="4" s="1"/>
  <c r="AR46" i="4" s="1"/>
  <c r="AT46" i="4" s="1"/>
  <c r="AJ46" i="4"/>
  <c r="AU359" i="5"/>
  <c r="AA20" i="4"/>
  <c r="AC20" i="4" s="1"/>
  <c r="AD20" i="4" s="1"/>
  <c r="AG66" i="4"/>
  <c r="AI66" i="4" s="1"/>
  <c r="AR66" i="4" s="1"/>
  <c r="AT66" i="4" s="1"/>
  <c r="AK20" i="4"/>
  <c r="AU327" i="5"/>
  <c r="AU297" i="5"/>
  <c r="AT466" i="5"/>
  <c r="AX466" i="5" s="1"/>
  <c r="AY466" i="5" s="1"/>
  <c r="AU188" i="5"/>
  <c r="AU166" i="5"/>
  <c r="AU477" i="5"/>
  <c r="AT518" i="5"/>
  <c r="AX517" i="5" s="1"/>
  <c r="AY517" i="5" s="1"/>
  <c r="AU514" i="5"/>
  <c r="AU22" i="5"/>
  <c r="AU511" i="5"/>
  <c r="AR43" i="4"/>
  <c r="AT43" i="4" s="1"/>
  <c r="AU62" i="5"/>
  <c r="AX49" i="5"/>
  <c r="AY49" i="5" s="1"/>
  <c r="AU349" i="5"/>
  <c r="AA14" i="4"/>
  <c r="AC14" i="4" s="1"/>
  <c r="AD14" i="4" s="1"/>
  <c r="AR149" i="4"/>
  <c r="AT149" i="4" s="1"/>
  <c r="AK14" i="4"/>
  <c r="AU148" i="5"/>
  <c r="AU137" i="5"/>
  <c r="AT201" i="5"/>
  <c r="AX201" i="5" s="1"/>
  <c r="AY201" i="5" s="1"/>
  <c r="AA61" i="4"/>
  <c r="AC61" i="4" s="1"/>
  <c r="AD61" i="4" s="1"/>
  <c r="AR61" i="4" s="1"/>
  <c r="AT61" i="4" s="1"/>
  <c r="AT42" i="5"/>
  <c r="AX42" i="5" s="1"/>
  <c r="AY42" i="5" s="1"/>
  <c r="AU351" i="5"/>
  <c r="AU21" i="5"/>
  <c r="AX21" i="5"/>
  <c r="AY21" i="5" s="1"/>
  <c r="AK61" i="4"/>
  <c r="AT214" i="5"/>
  <c r="AX214" i="5" s="1"/>
  <c r="AY214" i="5" s="1"/>
  <c r="AT267" i="5"/>
  <c r="AX267" i="5" s="1"/>
  <c r="AY267" i="5" s="1"/>
  <c r="AT186" i="5"/>
  <c r="AX186" i="5" s="1"/>
  <c r="AY186" i="5" s="1"/>
  <c r="AT301" i="5"/>
  <c r="AX300" i="5" s="1"/>
  <c r="AY300" i="5" s="1"/>
  <c r="AU300" i="5"/>
  <c r="AT313" i="5"/>
  <c r="AX313" i="5" s="1"/>
  <c r="AY313" i="5" s="1"/>
  <c r="AU382" i="5"/>
  <c r="AX148" i="5"/>
  <c r="AY148" i="5" s="1"/>
  <c r="AT451" i="5"/>
  <c r="AX450" i="5" s="1"/>
  <c r="AY450" i="5" s="1"/>
  <c r="AT486" i="5"/>
  <c r="AX485" i="5" s="1"/>
  <c r="AY485" i="5" s="1"/>
  <c r="AA57" i="4"/>
  <c r="AC57" i="4" s="1"/>
  <c r="AD57" i="4" s="1"/>
  <c r="AR57" i="4" s="1"/>
  <c r="AT57" i="4" s="1"/>
  <c r="AF22" i="4"/>
  <c r="AO22" i="4" s="1"/>
  <c r="AA142" i="4"/>
  <c r="AC142" i="4" s="1"/>
  <c r="AD142" i="4" s="1"/>
  <c r="AX147" i="5"/>
  <c r="AY147" i="5" s="1"/>
  <c r="AT248" i="5"/>
  <c r="AX247" i="5" s="1"/>
  <c r="AY247" i="5" s="1"/>
  <c r="AU205" i="5"/>
  <c r="AT478" i="5"/>
  <c r="AX477" i="5" s="1"/>
  <c r="AY477" i="5" s="1"/>
  <c r="AK15" i="4"/>
  <c r="AU31" i="5"/>
  <c r="AU283" i="5"/>
  <c r="AO142" i="4"/>
  <c r="AT390" i="5"/>
  <c r="AX389" i="5" s="1"/>
  <c r="AY389" i="5" s="1"/>
  <c r="AK57" i="4"/>
  <c r="AA15" i="4"/>
  <c r="AC15" i="4" s="1"/>
  <c r="AD15" i="4" s="1"/>
  <c r="AR15" i="4" s="1"/>
  <c r="AT15" i="4" s="1"/>
  <c r="AT316" i="5"/>
  <c r="AX316" i="5" s="1"/>
  <c r="AY316" i="5" s="1"/>
  <c r="AK142" i="4"/>
  <c r="AT444" i="5"/>
  <c r="AX444" i="5" s="1"/>
  <c r="AY444" i="5" s="1"/>
  <c r="AT58" i="5"/>
  <c r="AX58" i="5" s="1"/>
  <c r="AY58" i="5" s="1"/>
  <c r="AT374" i="5"/>
  <c r="AX373" i="5" s="1"/>
  <c r="AY373" i="5" s="1"/>
  <c r="AT455" i="5"/>
  <c r="AX454" i="5" s="1"/>
  <c r="AY454" i="5" s="1"/>
  <c r="AT360" i="5"/>
  <c r="AT308" i="5"/>
  <c r="AX308" i="5" s="1"/>
  <c r="AY308" i="5" s="1"/>
  <c r="AT361" i="5"/>
  <c r="AX361" i="5" s="1"/>
  <c r="AY361" i="5" s="1"/>
  <c r="AX278" i="5"/>
  <c r="AY278" i="5" s="1"/>
  <c r="AX62" i="5"/>
  <c r="AY62" i="5" s="1"/>
  <c r="AU400" i="5"/>
  <c r="AU32" i="5"/>
  <c r="AT48" i="5"/>
  <c r="AX48" i="5" s="1"/>
  <c r="AY48" i="5" s="1"/>
  <c r="AU363" i="5"/>
  <c r="AU138" i="5"/>
  <c r="AT306" i="5"/>
  <c r="AX306" i="5" s="1"/>
  <c r="AY306" i="5" s="1"/>
  <c r="AU245" i="5"/>
  <c r="AT145" i="5"/>
  <c r="AX144" i="5" s="1"/>
  <c r="AY144" i="5" s="1"/>
  <c r="AU421" i="5"/>
  <c r="AX20" i="5"/>
  <c r="AY20" i="5" s="1"/>
  <c r="AT113" i="5"/>
  <c r="AX113" i="5" s="1"/>
  <c r="AY113" i="5" s="1"/>
  <c r="AU552" i="5"/>
  <c r="AU55" i="5"/>
  <c r="AT222" i="5"/>
  <c r="AX222" i="5" s="1"/>
  <c r="AY222" i="5" s="1"/>
  <c r="AT366" i="5"/>
  <c r="AX365" i="5" s="1"/>
  <c r="AY365" i="5" s="1"/>
  <c r="AT36" i="5"/>
  <c r="AX35" i="5" s="1"/>
  <c r="AY35" i="5" s="1"/>
  <c r="AX116" i="5"/>
  <c r="AU309" i="5"/>
  <c r="AU336" i="5"/>
  <c r="AU416" i="5"/>
  <c r="AT140" i="5"/>
  <c r="AX139" i="5" s="1"/>
  <c r="AY139" i="5" s="1"/>
  <c r="AT295" i="5"/>
  <c r="AX294" i="5" s="1"/>
  <c r="AY294" i="5" s="1"/>
  <c r="AT302" i="5"/>
  <c r="AX302" i="5" s="1"/>
  <c r="AY302" i="5" s="1"/>
  <c r="AT90" i="5"/>
  <c r="AX90" i="5" s="1"/>
  <c r="AY90" i="5" s="1"/>
  <c r="AU353" i="5"/>
  <c r="AT178" i="5"/>
  <c r="AX177" i="5" s="1"/>
  <c r="AY177" i="5" s="1"/>
  <c r="AT378" i="5"/>
  <c r="AT475" i="5"/>
  <c r="AX475" i="5" s="1"/>
  <c r="AY475" i="5" s="1"/>
  <c r="AT462" i="5"/>
  <c r="AU517" i="5"/>
  <c r="AT344" i="5"/>
  <c r="AX343" i="5" s="1"/>
  <c r="AY343" i="5" s="1"/>
  <c r="AT94" i="5"/>
  <c r="AX94" i="5" s="1"/>
  <c r="AY94" i="5" s="1"/>
  <c r="AA135" i="4"/>
  <c r="AC135" i="4" s="1"/>
  <c r="AD135" i="4" s="1"/>
  <c r="AA125" i="4"/>
  <c r="AC125" i="4" s="1"/>
  <c r="AD125" i="4" s="1"/>
  <c r="AT158" i="5"/>
  <c r="AX158" i="5" s="1"/>
  <c r="AY158" i="5" s="1"/>
  <c r="AK125" i="4"/>
  <c r="AT259" i="5"/>
  <c r="AX258" i="5" s="1"/>
  <c r="AY258" i="5" s="1"/>
  <c r="AU438" i="5"/>
  <c r="AT119" i="5"/>
  <c r="AX118" i="5" s="1"/>
  <c r="AY118" i="5" s="1"/>
  <c r="AU394" i="5"/>
  <c r="AT155" i="5"/>
  <c r="AU504" i="5"/>
  <c r="AU193" i="5"/>
  <c r="AU270" i="5"/>
  <c r="AX46" i="5"/>
  <c r="AY46" i="5" s="1"/>
  <c r="AU385" i="5"/>
  <c r="AT194" i="5"/>
  <c r="AX193" i="5" s="1"/>
  <c r="AY193" i="5" s="1"/>
  <c r="AA39" i="4"/>
  <c r="AC39" i="4" s="1"/>
  <c r="AD39" i="4" s="1"/>
  <c r="AT428" i="5"/>
  <c r="AX427" i="5" s="1"/>
  <c r="AY427" i="5" s="1"/>
  <c r="AT556" i="5"/>
  <c r="AX556" i="5" s="1"/>
  <c r="AY556" i="5" s="1"/>
  <c r="AT494" i="5"/>
  <c r="AX494" i="5" s="1"/>
  <c r="AY494" i="5" s="1"/>
  <c r="AT76" i="5"/>
  <c r="AX76" i="5" s="1"/>
  <c r="AY76" i="5" s="1"/>
  <c r="AK39" i="4"/>
  <c r="AU502" i="5"/>
  <c r="AT404" i="5"/>
  <c r="AU541" i="5"/>
  <c r="AU46" i="5"/>
  <c r="AT244" i="5"/>
  <c r="AT383" i="5"/>
  <c r="AX382" i="5" s="1"/>
  <c r="AY382" i="5" s="1"/>
  <c r="AU440" i="5"/>
  <c r="AX53" i="5"/>
  <c r="AY53" i="5" s="1"/>
  <c r="AX54" i="5"/>
  <c r="AY54" i="5" s="1"/>
  <c r="AU425" i="5"/>
  <c r="AU126" i="5"/>
  <c r="AU106" i="5"/>
  <c r="AT174" i="5"/>
  <c r="AX173" i="5" s="1"/>
  <c r="AY173" i="5" s="1"/>
  <c r="AT335" i="5"/>
  <c r="AX335" i="5" s="1"/>
  <c r="AY335" i="5" s="1"/>
  <c r="AT111" i="5"/>
  <c r="AX111" i="5" s="1"/>
  <c r="AY111" i="5" s="1"/>
  <c r="AT277" i="5"/>
  <c r="AX277" i="5" s="1"/>
  <c r="AY277" i="5" s="1"/>
  <c r="AT325" i="5"/>
  <c r="AX324" i="5" s="1"/>
  <c r="AY324" i="5" s="1"/>
  <c r="AT67" i="5"/>
  <c r="AX67" i="5" s="1"/>
  <c r="AY67" i="5" s="1"/>
  <c r="AT210" i="5"/>
  <c r="AX209" i="5" s="1"/>
  <c r="AT310" i="5"/>
  <c r="AX309" i="5" s="1"/>
  <c r="AY309" i="5" s="1"/>
  <c r="AT555" i="5"/>
  <c r="AX122" i="5"/>
  <c r="AY122" i="5" s="1"/>
  <c r="AU50" i="5"/>
  <c r="AT402" i="5"/>
  <c r="AT551" i="5"/>
  <c r="AX551" i="5" s="1"/>
  <c r="AY551" i="5" s="1"/>
  <c r="AX80" i="5"/>
  <c r="AY80" i="5" s="1"/>
  <c r="AT318" i="5"/>
  <c r="AX318" i="5" s="1"/>
  <c r="AY318" i="5" s="1"/>
  <c r="AT12" i="5"/>
  <c r="AU476" i="5"/>
  <c r="AU122" i="5"/>
  <c r="AT354" i="5"/>
  <c r="AX353" i="5" s="1"/>
  <c r="AY353" i="5" s="1"/>
  <c r="AT60" i="5"/>
  <c r="AX59" i="5" s="1"/>
  <c r="AY59" i="5" s="1"/>
  <c r="AT452" i="5"/>
  <c r="AX451" i="5" s="1"/>
  <c r="AY451" i="5" s="1"/>
  <c r="AT120" i="5"/>
  <c r="AX120" i="5" s="1"/>
  <c r="AY120" i="5" s="1"/>
  <c r="AU116" i="5"/>
  <c r="AT104" i="5"/>
  <c r="AX103" i="5" s="1"/>
  <c r="AY103" i="5" s="1"/>
  <c r="AT150" i="5"/>
  <c r="AX150" i="5" s="1"/>
  <c r="AY150" i="5" s="1"/>
  <c r="AU533" i="5"/>
  <c r="AU369" i="5"/>
  <c r="AT403" i="5"/>
  <c r="AU163" i="5"/>
  <c r="AK22" i="4"/>
  <c r="AT217" i="5"/>
  <c r="AX216" i="5" s="1"/>
  <c r="AY216" i="5" s="1"/>
  <c r="AX240" i="5"/>
  <c r="AY240" i="5" s="1"/>
  <c r="AU25" i="5"/>
  <c r="AU453" i="5"/>
  <c r="AU198" i="5"/>
  <c r="AU384" i="5"/>
  <c r="AT231" i="5"/>
  <c r="AX231" i="5" s="1"/>
  <c r="AY231" i="5" s="1"/>
  <c r="AU505" i="5"/>
  <c r="AU77" i="5"/>
  <c r="AU350" i="5"/>
  <c r="AT263" i="5"/>
  <c r="AX262" i="5" s="1"/>
  <c r="AY262" i="5" s="1"/>
  <c r="AT239" i="5"/>
  <c r="AX239" i="5" s="1"/>
  <c r="AY239" i="5" s="1"/>
  <c r="AO125" i="4"/>
  <c r="AT411" i="5"/>
  <c r="AX411" i="5" s="1"/>
  <c r="AY411" i="5" s="1"/>
  <c r="AU398" i="5"/>
  <c r="AK135" i="4"/>
  <c r="AT110" i="5"/>
  <c r="AX109" i="5" s="1"/>
  <c r="AY109" i="5" s="1"/>
  <c r="AX73" i="5"/>
  <c r="AY73" i="5" s="1"/>
  <c r="AU420" i="5"/>
  <c r="AU285" i="5"/>
  <c r="AT501" i="5"/>
  <c r="AX500" i="5" s="1"/>
  <c r="AY500" i="5" s="1"/>
  <c r="AU114" i="5"/>
  <c r="AU44" i="5"/>
  <c r="AU73" i="5"/>
  <c r="AT220" i="5"/>
  <c r="AX219" i="5" s="1"/>
  <c r="AY219" i="5" s="1"/>
  <c r="AT82" i="5"/>
  <c r="AX81" i="5" s="1"/>
  <c r="AY81" i="5" s="1"/>
  <c r="AU406" i="5"/>
  <c r="AU24" i="5"/>
  <c r="AU548" i="5"/>
  <c r="AT236" i="5"/>
  <c r="AX236" i="5" s="1"/>
  <c r="AY236" i="5" s="1"/>
  <c r="AU128" i="5"/>
  <c r="AU468" i="5"/>
  <c r="AU387" i="5"/>
  <c r="AX143" i="5"/>
  <c r="AY143" i="5" s="1"/>
  <c r="AU115" i="5"/>
  <c r="AX202" i="5"/>
  <c r="AY202" i="5" s="1"/>
  <c r="AU437" i="5"/>
  <c r="AT513" i="5"/>
  <c r="AX512" i="5" s="1"/>
  <c r="AY512" i="5" s="1"/>
  <c r="AT377" i="5"/>
  <c r="AX376" i="5" s="1"/>
  <c r="AY376" i="5" s="1"/>
  <c r="AX127" i="5"/>
  <c r="AY127" i="5" s="1"/>
  <c r="AT441" i="5"/>
  <c r="AX440" i="5" s="1"/>
  <c r="AY440" i="5" s="1"/>
  <c r="AT492" i="5"/>
  <c r="AX491" i="5" s="1"/>
  <c r="AY491" i="5" s="1"/>
  <c r="AT168" i="5"/>
  <c r="AX168" i="5" s="1"/>
  <c r="AY168" i="5" s="1"/>
  <c r="AU19" i="5"/>
  <c r="AT410" i="5"/>
  <c r="AU375" i="5"/>
  <c r="AT558" i="5"/>
  <c r="AX557" i="5" s="1"/>
  <c r="AY557" i="5" s="1"/>
  <c r="AU204" i="5"/>
  <c r="AU314" i="5"/>
  <c r="AU240" i="5"/>
  <c r="AT228" i="5"/>
  <c r="AT229" i="5"/>
  <c r="AX229" i="5" s="1"/>
  <c r="AY229" i="5" s="1"/>
  <c r="AU320" i="5"/>
  <c r="AU560" i="5"/>
  <c r="AU153" i="5"/>
  <c r="AT99" i="5"/>
  <c r="AX99" i="5" s="1"/>
  <c r="AY99" i="5" s="1"/>
  <c r="AT157" i="5"/>
  <c r="AT238" i="5"/>
  <c r="AT405" i="5"/>
  <c r="AU108" i="5"/>
  <c r="AU143" i="5"/>
  <c r="AT134" i="5"/>
  <c r="AX134" i="5" s="1"/>
  <c r="AY134" i="5" s="1"/>
  <c r="AR68" i="4"/>
  <c r="AT68" i="4" s="1"/>
  <c r="AU218" i="5"/>
  <c r="AT496" i="5"/>
  <c r="AX495" i="5" s="1"/>
  <c r="AY495" i="5" s="1"/>
  <c r="AT27" i="5"/>
  <c r="AX26" i="5" s="1"/>
  <c r="AY26" i="5" s="1"/>
  <c r="AX72" i="5"/>
  <c r="AY72" i="5" s="1"/>
  <c r="AU293" i="5"/>
  <c r="AU472" i="5"/>
  <c r="AX19" i="5"/>
  <c r="AY19" i="5" s="1"/>
  <c r="AT132" i="5"/>
  <c r="AX132" i="5" s="1"/>
  <c r="AY132" i="5" s="1"/>
  <c r="F69" i="1"/>
  <c r="AT473" i="5"/>
  <c r="AX472" i="5" s="1"/>
  <c r="AY472" i="5" s="1"/>
  <c r="AU68" i="5"/>
  <c r="AT197" i="5"/>
  <c r="AX197" i="5" s="1"/>
  <c r="AY197" i="5" s="1"/>
  <c r="AT179" i="5"/>
  <c r="AX179" i="5" s="1"/>
  <c r="AY179" i="5" s="1"/>
  <c r="AX198" i="5"/>
  <c r="AY198" i="5" s="1"/>
  <c r="AX218" i="5"/>
  <c r="AY218" i="5" s="1"/>
  <c r="AT388" i="5"/>
  <c r="AX388" i="5" s="1"/>
  <c r="AY388" i="5" s="1"/>
  <c r="AT75" i="5"/>
  <c r="AX68" i="5"/>
  <c r="AY68" i="5" s="1"/>
  <c r="AU209" i="5"/>
  <c r="AT66" i="5"/>
  <c r="AX254" i="5"/>
  <c r="AY254" i="5" s="1"/>
  <c r="AX255" i="5"/>
  <c r="AY255" i="5" s="1"/>
  <c r="AT141" i="5"/>
  <c r="AX141" i="5" s="1"/>
  <c r="AY141" i="5" s="1"/>
  <c r="AU447" i="5"/>
  <c r="AU29" i="5"/>
  <c r="AU95" i="5"/>
  <c r="AA12" i="4"/>
  <c r="AC12" i="4" s="1"/>
  <c r="AD12" i="4" s="1"/>
  <c r="AU255" i="5"/>
  <c r="AT401" i="5"/>
  <c r="AU93" i="5"/>
  <c r="AT65" i="5"/>
  <c r="AT529" i="5"/>
  <c r="AU53" i="5"/>
  <c r="AT528" i="5"/>
  <c r="AU35" i="5"/>
  <c r="AU45" i="5"/>
  <c r="AU199" i="5"/>
  <c r="AU414" i="5"/>
  <c r="AU103" i="5"/>
  <c r="AX128" i="5"/>
  <c r="AY128" i="5" s="1"/>
  <c r="AX102" i="5"/>
  <c r="AY102" i="5" s="1"/>
  <c r="AT291" i="5"/>
  <c r="AX290" i="5" s="1"/>
  <c r="AY290" i="5" s="1"/>
  <c r="AX71" i="5"/>
  <c r="AY71" i="5" s="1"/>
  <c r="AX101" i="5"/>
  <c r="AY101" i="5" s="1"/>
  <c r="AT321" i="5"/>
  <c r="AX321" i="5" s="1"/>
  <c r="AY321" i="5" s="1"/>
  <c r="AU480" i="5"/>
  <c r="AU20" i="5"/>
  <c r="AU102" i="5"/>
  <c r="AX208" i="5"/>
  <c r="AY208" i="5" s="1"/>
  <c r="AT559" i="5"/>
  <c r="AX559" i="5" s="1"/>
  <c r="AY559" i="5" s="1"/>
  <c r="AX129" i="5"/>
  <c r="AY129" i="5" s="1"/>
  <c r="AU219" i="5"/>
  <c r="AU247" i="5"/>
  <c r="AU129" i="5"/>
  <c r="AT323" i="5"/>
  <c r="AX323" i="5" s="1"/>
  <c r="AY323" i="5" s="1"/>
  <c r="AT272" i="5"/>
  <c r="AX272" i="5" s="1"/>
  <c r="AY272" i="5" s="1"/>
  <c r="AF26" i="4"/>
  <c r="AK26" i="4"/>
  <c r="AA26" i="4"/>
  <c r="AC26" i="4" s="1"/>
  <c r="AD26" i="4" s="1"/>
  <c r="AT409" i="5"/>
  <c r="AX408" i="5" s="1"/>
  <c r="AY408" i="5" s="1"/>
  <c r="AA129" i="4"/>
  <c r="AC129" i="4" s="1"/>
  <c r="AD129" i="4" s="1"/>
  <c r="AR129" i="4" s="1"/>
  <c r="AT129" i="4" s="1"/>
  <c r="AO12" i="4"/>
  <c r="AA72" i="4"/>
  <c r="AC72" i="4" s="1"/>
  <c r="AD72" i="4" s="1"/>
  <c r="AR72" i="4" s="1"/>
  <c r="AT72" i="4" s="1"/>
  <c r="AK129" i="4"/>
  <c r="AT11" i="5"/>
  <c r="AU393" i="5"/>
  <c r="AU407" i="5"/>
  <c r="AU185" i="5"/>
  <c r="AA109" i="4"/>
  <c r="AC109" i="4" s="1"/>
  <c r="AD109" i="4" s="1"/>
  <c r="AK109" i="4"/>
  <c r="AA148" i="4"/>
  <c r="AC148" i="4" s="1"/>
  <c r="AD148" i="4" s="1"/>
  <c r="AU64" i="5"/>
  <c r="AU307" i="5"/>
  <c r="AK148" i="4"/>
  <c r="AK72" i="4"/>
  <c r="AU287" i="5"/>
  <c r="AO152" i="4"/>
  <c r="AR152" i="4" s="1"/>
  <c r="AT152" i="4" s="1"/>
  <c r="AK67" i="4"/>
  <c r="AJ67" i="4"/>
  <c r="AA133" i="4"/>
  <c r="AC133" i="4" s="1"/>
  <c r="AD133" i="4" s="1"/>
  <c r="AT340" i="5"/>
  <c r="AX339" i="5" s="1"/>
  <c r="AY339" i="5" s="1"/>
  <c r="AA79" i="4"/>
  <c r="AC79" i="4" s="1"/>
  <c r="AD79" i="4" s="1"/>
  <c r="AJ152" i="4"/>
  <c r="AR108" i="4"/>
  <c r="AT108" i="4" s="1"/>
  <c r="AT10" i="5"/>
  <c r="AT249" i="5"/>
  <c r="AO67" i="4"/>
  <c r="AR67" i="4" s="1"/>
  <c r="AT67" i="4" s="1"/>
  <c r="AK79" i="4"/>
  <c r="AK133" i="4"/>
  <c r="AF133" i="4"/>
  <c r="AG133" i="4" s="1"/>
  <c r="AI133" i="4" s="1"/>
  <c r="AK152" i="4"/>
  <c r="AU230" i="5"/>
  <c r="AU346" i="5"/>
  <c r="AT299" i="5"/>
  <c r="AX299" i="5" s="1"/>
  <c r="AY299" i="5" s="1"/>
  <c r="AA132" i="4"/>
  <c r="AC132" i="4" s="1"/>
  <c r="AD132" i="4" s="1"/>
  <c r="AJ132" i="4"/>
  <c r="AK132" i="4"/>
  <c r="AO105" i="4"/>
  <c r="AG105" i="4"/>
  <c r="AI105" i="4" s="1"/>
  <c r="AF101" i="4"/>
  <c r="AA101" i="4"/>
  <c r="AC101" i="4" s="1"/>
  <c r="AD101" i="4" s="1"/>
  <c r="AK101" i="4"/>
  <c r="AF21" i="4"/>
  <c r="AA21" i="4"/>
  <c r="AC21" i="4" s="1"/>
  <c r="AD21" i="4" s="1"/>
  <c r="AK21" i="4"/>
  <c r="AF24" i="4"/>
  <c r="AK24" i="4"/>
  <c r="AR81" i="4"/>
  <c r="AT81" i="4" s="1"/>
  <c r="AF10" i="4"/>
  <c r="AA10" i="4"/>
  <c r="AC10" i="4" s="1"/>
  <c r="AD10" i="4" s="1"/>
  <c r="AK10" i="4"/>
  <c r="AG140" i="4"/>
  <c r="AI140" i="4" s="1"/>
  <c r="AO140" i="4"/>
  <c r="AO132" i="4"/>
  <c r="AG132" i="4"/>
  <c r="AI132" i="4" s="1"/>
  <c r="AA62" i="4"/>
  <c r="AC62" i="4" s="1"/>
  <c r="AD62" i="4" s="1"/>
  <c r="AF62" i="4"/>
  <c r="AK62" i="4"/>
  <c r="AJ144" i="4"/>
  <c r="Z155" i="4"/>
  <c r="AF155" i="4" s="1"/>
  <c r="Z144" i="4"/>
  <c r="AF144" i="4" s="1"/>
  <c r="AJ155" i="4"/>
  <c r="AF59" i="4"/>
  <c r="AK59" i="4"/>
  <c r="AA59" i="4"/>
  <c r="AC59" i="4" s="1"/>
  <c r="AD59" i="4" s="1"/>
  <c r="AG79" i="4"/>
  <c r="AI79" i="4" s="1"/>
  <c r="AO79" i="4"/>
  <c r="AA94" i="4"/>
  <c r="AC94" i="4" s="1"/>
  <c r="AD94" i="4" s="1"/>
  <c r="AJ94" i="4"/>
  <c r="AF83" i="4"/>
  <c r="AA83" i="4"/>
  <c r="AC83" i="4" s="1"/>
  <c r="AD83" i="4" s="1"/>
  <c r="AK83" i="4"/>
  <c r="AU8" i="5"/>
  <c r="AJ130" i="4"/>
  <c r="Z141" i="4"/>
  <c r="AA141" i="4" s="1"/>
  <c r="AC141" i="4" s="1"/>
  <c r="AD141" i="4" s="1"/>
  <c r="AF94" i="4"/>
  <c r="AK94" i="4"/>
  <c r="AA24" i="4"/>
  <c r="AC24" i="4" s="1"/>
  <c r="AD24" i="4" s="1"/>
  <c r="AJ24" i="4"/>
  <c r="AF58" i="4"/>
  <c r="AA58" i="4"/>
  <c r="AC58" i="4" s="1"/>
  <c r="AD58" i="4" s="1"/>
  <c r="AK58" i="4"/>
  <c r="Z130" i="4"/>
  <c r="AF130" i="4" s="1"/>
  <c r="AF34" i="4"/>
  <c r="AK34" i="4"/>
  <c r="AA34" i="4"/>
  <c r="AC34" i="4" s="1"/>
  <c r="AD34" i="4" s="1"/>
  <c r="AR75" i="4"/>
  <c r="AT75" i="4" s="1"/>
  <c r="AT292" i="5"/>
  <c r="AU391" i="5"/>
  <c r="AT235" i="5"/>
  <c r="AG76" i="4"/>
  <c r="AI76" i="4" s="1"/>
  <c r="AO76" i="4"/>
  <c r="AU162" i="5"/>
  <c r="AG84" i="4"/>
  <c r="AI84" i="4" s="1"/>
  <c r="AO84" i="4"/>
  <c r="AU169" i="5"/>
  <c r="AR143" i="4"/>
  <c r="AT143" i="4" s="1"/>
  <c r="AR103" i="4"/>
  <c r="AT103" i="4" s="1"/>
  <c r="AT487" i="5"/>
  <c r="AX487" i="5" s="1"/>
  <c r="AY487" i="5" s="1"/>
  <c r="AR85" i="4"/>
  <c r="AT85" i="4" s="1"/>
  <c r="AU412" i="5"/>
  <c r="AT458" i="5"/>
  <c r="AX458" i="5" s="1"/>
  <c r="AY458" i="5" s="1"/>
  <c r="AT550" i="5"/>
  <c r="AT233" i="5"/>
  <c r="AX232" i="5" s="1"/>
  <c r="AY232" i="5" s="1"/>
  <c r="AU364" i="5"/>
  <c r="AG120" i="4"/>
  <c r="AI120" i="4" s="1"/>
  <c r="AR120" i="4" s="1"/>
  <c r="AT120" i="4" s="1"/>
  <c r="AT549" i="5"/>
  <c r="AX548" i="5" s="1"/>
  <c r="AY548" i="5" s="1"/>
  <c r="AU328" i="5"/>
  <c r="AU396" i="5"/>
  <c r="AU457" i="5"/>
  <c r="AT547" i="5"/>
  <c r="AX547" i="5" s="1"/>
  <c r="AY547" i="5" s="1"/>
  <c r="AT326" i="5"/>
  <c r="AX326" i="5" s="1"/>
  <c r="AY326" i="5" s="1"/>
  <c r="AT52" i="5"/>
  <c r="AX52" i="5" s="1"/>
  <c r="AY52" i="5" s="1"/>
  <c r="AT196" i="5"/>
  <c r="AT207" i="5"/>
  <c r="AX206" i="5" s="1"/>
  <c r="AY206" i="5" s="1"/>
  <c r="AT545" i="5"/>
  <c r="AX544" i="5" s="1"/>
  <c r="AY544" i="5" s="1"/>
  <c r="AT430" i="5"/>
  <c r="AX429" i="5" s="1"/>
  <c r="AY429" i="5" s="1"/>
  <c r="AU315" i="5"/>
  <c r="AU47" i="5"/>
  <c r="AU92" i="5"/>
  <c r="AT423" i="5"/>
  <c r="AX423" i="5" s="1"/>
  <c r="AY423" i="5" s="1"/>
  <c r="AT527" i="5"/>
  <c r="AT443" i="5"/>
  <c r="AU271" i="5"/>
  <c r="AT510" i="5"/>
  <c r="AX509" i="5" s="1"/>
  <c r="AY509" i="5" s="1"/>
  <c r="AU225" i="5"/>
  <c r="AT352" i="5"/>
  <c r="AX351" i="5" s="1"/>
  <c r="AY351" i="5" s="1"/>
  <c r="AU79" i="5"/>
  <c r="AU418" i="5"/>
  <c r="AU139" i="5"/>
  <c r="AU539" i="5"/>
  <c r="AT535" i="5"/>
  <c r="AX535" i="5" s="1"/>
  <c r="AY535" i="5" s="1"/>
  <c r="AT191" i="5"/>
  <c r="AX191" i="5" s="1"/>
  <c r="AY191" i="5" s="1"/>
  <c r="AT56" i="5"/>
  <c r="AX56" i="5" s="1"/>
  <c r="AY56" i="5" s="1"/>
  <c r="AT497" i="5"/>
  <c r="AU57" i="5"/>
  <c r="AU490" i="5"/>
  <c r="AT419" i="5"/>
  <c r="AX418" i="5" s="1"/>
  <c r="AY418" i="5" s="1"/>
  <c r="AU98" i="5"/>
  <c r="AT96" i="5"/>
  <c r="AX96" i="5" s="1"/>
  <c r="AY96" i="5" s="1"/>
  <c r="AX347" i="5"/>
  <c r="AY347" i="5" s="1"/>
  <c r="AT542" i="5"/>
  <c r="AX542" i="5" s="1"/>
  <c r="AY542" i="5" s="1"/>
  <c r="AT154" i="5"/>
  <c r="AX153" i="5" s="1"/>
  <c r="AY153" i="5" s="1"/>
  <c r="AU84" i="5"/>
  <c r="AT172" i="5"/>
  <c r="AX172" i="5" s="1"/>
  <c r="AY172" i="5" s="1"/>
  <c r="AT358" i="5"/>
  <c r="AX358" i="5" s="1"/>
  <c r="AY358" i="5" s="1"/>
  <c r="AT124" i="5"/>
  <c r="AX123" i="5" s="1"/>
  <c r="AY123" i="5" s="1"/>
  <c r="AX384" i="5"/>
  <c r="AY384" i="5" s="1"/>
  <c r="AT164" i="5"/>
  <c r="AX163" i="5" s="1"/>
  <c r="AY163" i="5" s="1"/>
  <c r="AX425" i="5"/>
  <c r="AY425" i="5" s="1"/>
  <c r="AU503" i="5"/>
  <c r="AU330" i="5"/>
  <c r="AU211" i="5"/>
  <c r="AU322" i="5"/>
  <c r="AU281" i="5"/>
  <c r="AT61" i="5"/>
  <c r="AU435" i="5"/>
  <c r="AT227" i="5"/>
  <c r="AX226" i="5" s="1"/>
  <c r="AY226" i="5" s="1"/>
  <c r="AT526" i="5"/>
  <c r="AX525" i="5" s="1"/>
  <c r="AY525" i="5" s="1"/>
  <c r="AU224" i="5"/>
  <c r="AU39" i="5"/>
  <c r="AT28" i="5"/>
  <c r="AX28" i="5" s="1"/>
  <c r="AY28" i="5" s="1"/>
  <c r="AT519" i="5"/>
  <c r="AT357" i="5"/>
  <c r="AX356" i="5" s="1"/>
  <c r="AY356" i="5" s="1"/>
  <c r="AT107" i="5"/>
  <c r="AX107" i="5" s="1"/>
  <c r="AY107" i="5" s="1"/>
  <c r="AX135" i="5"/>
  <c r="AY135" i="5" s="1"/>
  <c r="AU493" i="5"/>
  <c r="AU177" i="5"/>
  <c r="AU131" i="5"/>
  <c r="AT51" i="5"/>
  <c r="AT246" i="5"/>
  <c r="AX245" i="5" s="1"/>
  <c r="AY245" i="5" s="1"/>
  <c r="AT442" i="5"/>
  <c r="AX479" i="5"/>
  <c r="AY479" i="5" s="1"/>
  <c r="AX552" i="5"/>
  <c r="AY552" i="5" s="1"/>
  <c r="AX456" i="5"/>
  <c r="AY456" i="5" s="1"/>
  <c r="AX159" i="5"/>
  <c r="AY159" i="5" s="1"/>
  <c r="AT89" i="5"/>
  <c r="AX286" i="5"/>
  <c r="AY286" i="5" s="1"/>
  <c r="AT516" i="5"/>
  <c r="AX515" i="5" s="1"/>
  <c r="AY515" i="5" s="1"/>
  <c r="AT41" i="5"/>
  <c r="AU71" i="5"/>
  <c r="AT367" i="5"/>
  <c r="AX367" i="5" s="1"/>
  <c r="AY367" i="5" s="1"/>
  <c r="AU86" i="5"/>
  <c r="AT190" i="5"/>
  <c r="AT152" i="5"/>
  <c r="AX151" i="5" s="1"/>
  <c r="AY151" i="5" s="1"/>
  <c r="AU273" i="5"/>
  <c r="AU439" i="5"/>
  <c r="AX311" i="5"/>
  <c r="AY311" i="5" s="1"/>
  <c r="AT88" i="5"/>
  <c r="AX87" i="5" s="1"/>
  <c r="AY87" i="5" s="1"/>
  <c r="AX407" i="5"/>
  <c r="AY407" i="5" s="1"/>
  <c r="AX328" i="5"/>
  <c r="AY328" i="5" s="1"/>
  <c r="AT156" i="5"/>
  <c r="AU195" i="5"/>
  <c r="AX349" i="5"/>
  <c r="AY349" i="5" s="1"/>
  <c r="AU368" i="5"/>
  <c r="B123" i="2"/>
  <c r="H29" i="1" s="1"/>
  <c r="AU355" i="5"/>
  <c r="AT334" i="5"/>
  <c r="AX333" i="5" s="1"/>
  <c r="AY333" i="5" s="1"/>
  <c r="AU276" i="5"/>
  <c r="AT30" i="5"/>
  <c r="AX30" i="5" s="1"/>
  <c r="AY30" i="5" s="1"/>
  <c r="AX523" i="5"/>
  <c r="AY523" i="5" s="1"/>
  <c r="AX169" i="5"/>
  <c r="AY169" i="5" s="1"/>
  <c r="AT415" i="5"/>
  <c r="AX415" i="5" s="1"/>
  <c r="AY415" i="5" s="1"/>
  <c r="AT531" i="5"/>
  <c r="AX531" i="5" s="1"/>
  <c r="AY531" i="5" s="1"/>
  <c r="AX503" i="5"/>
  <c r="AY503" i="5" s="1"/>
  <c r="AT431" i="5"/>
  <c r="AX431" i="5" s="1"/>
  <c r="AY431" i="5" s="1"/>
  <c r="AU372" i="5"/>
  <c r="AT242" i="5"/>
  <c r="AX241" i="5" s="1"/>
  <c r="AY241" i="5" s="1"/>
  <c r="AU389" i="5"/>
  <c r="AR97" i="4"/>
  <c r="AT97" i="4" s="1"/>
  <c r="AR45" i="4"/>
  <c r="AT45" i="4" s="1"/>
  <c r="AX488" i="5"/>
  <c r="AY488" i="5" s="1"/>
  <c r="AU250" i="5"/>
  <c r="AX520" i="5"/>
  <c r="AY520" i="5" s="1"/>
  <c r="AX251" i="5"/>
  <c r="AY251" i="5" s="1"/>
  <c r="AX368" i="5"/>
  <c r="AY368" i="5" s="1"/>
  <c r="AU507" i="5"/>
  <c r="AU474" i="5"/>
  <c r="AX449" i="5"/>
  <c r="AY449" i="5" s="1"/>
  <c r="AO32" i="4"/>
  <c r="AR32" i="4" s="1"/>
  <c r="AT32" i="4" s="1"/>
  <c r="AR17" i="4"/>
  <c r="AT17" i="4" s="1"/>
  <c r="AX350" i="5"/>
  <c r="AY350" i="5" s="1"/>
  <c r="AX392" i="5"/>
  <c r="AY392" i="5" s="1"/>
  <c r="AX34" i="5"/>
  <c r="AY34" i="5" s="1"/>
  <c r="AR123" i="4"/>
  <c r="AT123" i="4" s="1"/>
  <c r="AR111" i="4"/>
  <c r="AT111" i="4" s="1"/>
  <c r="AX180" i="5"/>
  <c r="AY180" i="5" s="1"/>
  <c r="AX287" i="5"/>
  <c r="AY287" i="5" s="1"/>
  <c r="AX505" i="5"/>
  <c r="AY505" i="5" s="1"/>
  <c r="AX434" i="5"/>
  <c r="AY434" i="5" s="1"/>
  <c r="AO95" i="4"/>
  <c r="AG95" i="4"/>
  <c r="AI95" i="4" s="1"/>
  <c r="AO116" i="4"/>
  <c r="AG116" i="4"/>
  <c r="AI116" i="4" s="1"/>
  <c r="AG35" i="4"/>
  <c r="AI35" i="4" s="1"/>
  <c r="AO35" i="4"/>
  <c r="AG134" i="4"/>
  <c r="AI134" i="4" s="1"/>
  <c r="AO134" i="4"/>
  <c r="AG69" i="4"/>
  <c r="AI69" i="4" s="1"/>
  <c r="AO69" i="4"/>
  <c r="AG20" i="4"/>
  <c r="AI20" i="4" s="1"/>
  <c r="AO20" i="4"/>
  <c r="AG38" i="4"/>
  <c r="AI38" i="4" s="1"/>
  <c r="AO38" i="4"/>
  <c r="AO54" i="4"/>
  <c r="AG54" i="4"/>
  <c r="AI54" i="4" s="1"/>
  <c r="AO126" i="4"/>
  <c r="AG126" i="4"/>
  <c r="AI126" i="4" s="1"/>
  <c r="AR70" i="4"/>
  <c r="AT70" i="4" s="1"/>
  <c r="AG23" i="4"/>
  <c r="AI23" i="4" s="1"/>
  <c r="AO23" i="4"/>
  <c r="AG127" i="4"/>
  <c r="AI127" i="4" s="1"/>
  <c r="AO127" i="4"/>
  <c r="AG109" i="4"/>
  <c r="AI109" i="4" s="1"/>
  <c r="AO109" i="4"/>
  <c r="AO100" i="4"/>
  <c r="AG100" i="4"/>
  <c r="AI100" i="4" s="1"/>
  <c r="AO64" i="4"/>
  <c r="AG64" i="4"/>
  <c r="AI64" i="4" s="1"/>
  <c r="AR44" i="4"/>
  <c r="AT44" i="4" s="1"/>
  <c r="AG8" i="4"/>
  <c r="AI8" i="4" s="1"/>
  <c r="AO8" i="4"/>
  <c r="AO128" i="4"/>
  <c r="AG128" i="4"/>
  <c r="AI128" i="4" s="1"/>
  <c r="AG150" i="4"/>
  <c r="AI150" i="4" s="1"/>
  <c r="AO150" i="4"/>
  <c r="AG86" i="4"/>
  <c r="AI86" i="4" s="1"/>
  <c r="AO86" i="4"/>
  <c r="AG77" i="4"/>
  <c r="AI77" i="4" s="1"/>
  <c r="AO77" i="4"/>
  <c r="AG93" i="4"/>
  <c r="AI93" i="4" s="1"/>
  <c r="AO93" i="4"/>
  <c r="AO7" i="4"/>
  <c r="AG7" i="4"/>
  <c r="AI7" i="4" s="1"/>
  <c r="AG148" i="4"/>
  <c r="AI148" i="4" s="1"/>
  <c r="AO148" i="4"/>
  <c r="AX338" i="5"/>
  <c r="AY338" i="5" s="1"/>
  <c r="AG37" i="4"/>
  <c r="AI37" i="4" s="1"/>
  <c r="AO135" i="4"/>
  <c r="AG135" i="4"/>
  <c r="AI135" i="4" s="1"/>
  <c r="AO14" i="4"/>
  <c r="AG14" i="4"/>
  <c r="AI14" i="4" s="1"/>
  <c r="AO157" i="4"/>
  <c r="AG157" i="4"/>
  <c r="AI157" i="4" s="1"/>
  <c r="AO137" i="4"/>
  <c r="AG137" i="4"/>
  <c r="AI137" i="4" s="1"/>
  <c r="AO63" i="4"/>
  <c r="AG63" i="4"/>
  <c r="AI63" i="4" s="1"/>
  <c r="AO39" i="4"/>
  <c r="AG39" i="4"/>
  <c r="AI39" i="4" s="1"/>
  <c r="AO52" i="4"/>
  <c r="AG52" i="4"/>
  <c r="AI52" i="4" s="1"/>
  <c r="AT9" i="5"/>
  <c r="AU9" i="5"/>
  <c r="AX341" i="5"/>
  <c r="AY341" i="5" s="1"/>
  <c r="AX86" i="5"/>
  <c r="AY86" i="5" s="1"/>
  <c r="AX498" i="5"/>
  <c r="AY498" i="5" s="1"/>
  <c r="AX314" i="5"/>
  <c r="AY314" i="5" s="1"/>
  <c r="AX264" i="5"/>
  <c r="AY264" i="5" s="1"/>
  <c r="AX224" i="5"/>
  <c r="AY224" i="5" s="1"/>
  <c r="AX183" i="5"/>
  <c r="AY183" i="5" s="1"/>
  <c r="AX464" i="5"/>
  <c r="AY464" i="5" s="1"/>
  <c r="AX84" i="5"/>
  <c r="AY84" i="5" s="1"/>
  <c r="AX39" i="5"/>
  <c r="AY39" i="5" s="1"/>
  <c r="AX447" i="5"/>
  <c r="AY447" i="5" s="1"/>
  <c r="AX33" i="5"/>
  <c r="AY33" i="5" s="1"/>
  <c r="AX362" i="5"/>
  <c r="AY362" i="5" s="1"/>
  <c r="AR114" i="4"/>
  <c r="AT114" i="4" s="1"/>
  <c r="AX355" i="5"/>
  <c r="AY355" i="5" s="1"/>
  <c r="AX279" i="5"/>
  <c r="AY279" i="5" s="1"/>
  <c r="AX160" i="5"/>
  <c r="AY160" i="5" s="1"/>
  <c r="AX260" i="5"/>
  <c r="AY260" i="5" s="1"/>
  <c r="AX435" i="5"/>
  <c r="AY435" i="5" s="1"/>
  <c r="AX369" i="5"/>
  <c r="AY369" i="5" s="1"/>
  <c r="AX188" i="5"/>
  <c r="AY188" i="5" s="1"/>
  <c r="AX252" i="5"/>
  <c r="AY252" i="5" s="1"/>
  <c r="AX199" i="5"/>
  <c r="AY199" i="5" s="1"/>
  <c r="AX329" i="5"/>
  <c r="AY329" i="5" s="1"/>
  <c r="AX274" i="5"/>
  <c r="AY274" i="5" s="1"/>
  <c r="AX165" i="5"/>
  <c r="AY165" i="5" s="1"/>
  <c r="AX283" i="5"/>
  <c r="AY283" i="5" s="1"/>
  <c r="AX481" i="5"/>
  <c r="AY481" i="5" s="1"/>
  <c r="AX395" i="5"/>
  <c r="AY395" i="5" s="1"/>
  <c r="AX364" i="5"/>
  <c r="AY364" i="5" s="1"/>
  <c r="AX137" i="5"/>
  <c r="AY137" i="5" s="1"/>
  <c r="AX424" i="5"/>
  <c r="AY424" i="5" s="1"/>
  <c r="AX79" i="5"/>
  <c r="AY79" i="5" s="1"/>
  <c r="AX432" i="5"/>
  <c r="AY432" i="5" s="1"/>
  <c r="AX269" i="5"/>
  <c r="AY269" i="5" s="1"/>
  <c r="AX211" i="5"/>
  <c r="AY211" i="5" s="1"/>
  <c r="AX489" i="5"/>
  <c r="AY489" i="5" s="1"/>
  <c r="AX85" i="5"/>
  <c r="AY85" i="5" s="1"/>
  <c r="AX25" i="5"/>
  <c r="AY25" i="5" s="1"/>
  <c r="AX288" i="5"/>
  <c r="AY288" i="5" s="1"/>
  <c r="AX265" i="5"/>
  <c r="AY265" i="5" s="1"/>
  <c r="AX372" i="5"/>
  <c r="AY372" i="5" s="1"/>
  <c r="AX303" i="5"/>
  <c r="AY303" i="5" s="1"/>
  <c r="AX342" i="5"/>
  <c r="AY342" i="5" s="1"/>
  <c r="AX43" i="5"/>
  <c r="AY43" i="5" s="1"/>
  <c r="AX146" i="5"/>
  <c r="AY146" i="5" s="1"/>
  <c r="AX270" i="5"/>
  <c r="AY270" i="5" s="1"/>
  <c r="AX176" i="5"/>
  <c r="AY176" i="5" s="1"/>
  <c r="AX187" i="5"/>
  <c r="AY187" i="5" s="1"/>
  <c r="AX398" i="5"/>
  <c r="AY398" i="5" s="1"/>
  <c r="AX421" i="5"/>
  <c r="AY421" i="5" s="1"/>
  <c r="AX337" i="5"/>
  <c r="AY337" i="5" s="1"/>
  <c r="AX345" i="5"/>
  <c r="AY345" i="5" s="1"/>
  <c r="AX223" i="5"/>
  <c r="AY223" i="5" s="1"/>
  <c r="AX413" i="5"/>
  <c r="AY413" i="5" s="1"/>
  <c r="AX380" i="5"/>
  <c r="AY380" i="5" s="1"/>
  <c r="AX386" i="5"/>
  <c r="AY386" i="5" s="1"/>
  <c r="AX130" i="5"/>
  <c r="AY130" i="5" s="1"/>
  <c r="AX63" i="5"/>
  <c r="AY63" i="5" s="1"/>
  <c r="AX331" i="5"/>
  <c r="AY331" i="5" s="1"/>
  <c r="AX261" i="5"/>
  <c r="AY261" i="5" s="1"/>
  <c r="AX205" i="5"/>
  <c r="AY205" i="5" s="1"/>
  <c r="AX426" i="5"/>
  <c r="AY426" i="5" s="1"/>
  <c r="AX511" i="5"/>
  <c r="AY511" i="5" s="1"/>
  <c r="AX161" i="5"/>
  <c r="AY161" i="5" s="1"/>
  <c r="AX282" i="5"/>
  <c r="AY282" i="5" s="1"/>
  <c r="AX438" i="5"/>
  <c r="AY438" i="5" s="1"/>
  <c r="AX37" i="5"/>
  <c r="AY37" i="5" s="1"/>
  <c r="AX273" i="5"/>
  <c r="AY273" i="5" s="1"/>
  <c r="AX537" i="5"/>
  <c r="AY537" i="5" s="1"/>
  <c r="AX83" i="5"/>
  <c r="AY83" i="5" s="1"/>
  <c r="AR92" i="4"/>
  <c r="AT92" i="4" s="1"/>
  <c r="AR121" i="4"/>
  <c r="AT121" i="4" s="1"/>
  <c r="AR154" i="4"/>
  <c r="AT154" i="4" s="1"/>
  <c r="AR156" i="4"/>
  <c r="AT156" i="4" s="1"/>
  <c r="AR50" i="4"/>
  <c r="AT50" i="4" s="1"/>
  <c r="AR29" i="4"/>
  <c r="AT29" i="4" s="1"/>
  <c r="AR138" i="4"/>
  <c r="AT138" i="4" s="1"/>
  <c r="AR104" i="4"/>
  <c r="AT104" i="4" s="1"/>
  <c r="AR113" i="4"/>
  <c r="AT113" i="4" s="1"/>
  <c r="AR147" i="4"/>
  <c r="AT147" i="4" s="1"/>
  <c r="AR51" i="4"/>
  <c r="AT51" i="4" s="1"/>
  <c r="AR122" i="4"/>
  <c r="AT122" i="4" s="1"/>
  <c r="AR65" i="4"/>
  <c r="AT65" i="4" s="1"/>
  <c r="AR124" i="4"/>
  <c r="AT124" i="4" s="1"/>
  <c r="AR88" i="4"/>
  <c r="AT88" i="4" s="1"/>
  <c r="AR90" i="4"/>
  <c r="AT90" i="4" s="1"/>
  <c r="AR11" i="4"/>
  <c r="AT11" i="4" s="1"/>
  <c r="AR146" i="4"/>
  <c r="AT146" i="4" s="1"/>
  <c r="AR33" i="4"/>
  <c r="AT33" i="4" s="1"/>
  <c r="AR131" i="4"/>
  <c r="AT131" i="4" s="1"/>
  <c r="AX394" i="5"/>
  <c r="AY394" i="5" s="1"/>
  <c r="AX166" i="5"/>
  <c r="AY166" i="5" s="1"/>
  <c r="AT13" i="5"/>
  <c r="AU13" i="5"/>
  <c r="AX436" i="5"/>
  <c r="AY436" i="5" s="1"/>
  <c r="AX44" i="5"/>
  <c r="AY44" i="5" s="1"/>
  <c r="AX92" i="5"/>
  <c r="AY92" i="5" s="1"/>
  <c r="AX381" i="5"/>
  <c r="AY381" i="5" s="1"/>
  <c r="AX215" i="5"/>
  <c r="AY215" i="5" s="1"/>
  <c r="AR28" i="4"/>
  <c r="AT28" i="4" s="1"/>
  <c r="AX280" i="5"/>
  <c r="AY280" i="5" s="1"/>
  <c r="AX125" i="5"/>
  <c r="AY125" i="5" s="1"/>
  <c r="AX476" i="5"/>
  <c r="AY476" i="5" s="1"/>
  <c r="AO91" i="4"/>
  <c r="AG91" i="4"/>
  <c r="AI91" i="4" s="1"/>
  <c r="AX225" i="5"/>
  <c r="AY225" i="5" s="1"/>
  <c r="AX24" i="5"/>
  <c r="AY24" i="5" s="1"/>
  <c r="AX448" i="5"/>
  <c r="AY448" i="5" s="1"/>
  <c r="AR80" i="4"/>
  <c r="AT80" i="4" s="1"/>
  <c r="AX256" i="5"/>
  <c r="AY256" i="5" s="1"/>
  <c r="AX275" i="5"/>
  <c r="AY275" i="5" s="1"/>
  <c r="AX32" i="5"/>
  <c r="AY32" i="5" s="1"/>
  <c r="AX504" i="5"/>
  <c r="AY504" i="5" s="1"/>
  <c r="AX319" i="5"/>
  <c r="AY319" i="5" s="1"/>
  <c r="AX393" i="5"/>
  <c r="AY393" i="5" s="1"/>
  <c r="AX467" i="5"/>
  <c r="AY467" i="5" s="1"/>
  <c r="F70" i="1"/>
  <c r="B231" i="2"/>
  <c r="F71" i="1" s="1"/>
  <c r="AX385" i="5"/>
  <c r="AY385" i="5" s="1"/>
  <c r="AX506" i="5"/>
  <c r="AY506" i="5" s="1"/>
  <c r="AX417" i="5"/>
  <c r="AY417" i="5" s="1"/>
  <c r="AX70" i="5"/>
  <c r="AY70" i="5" s="1"/>
  <c r="AR99" i="4"/>
  <c r="AT99" i="4" s="1"/>
  <c r="AX538" i="5"/>
  <c r="AY538" i="5" s="1"/>
  <c r="AX22" i="5"/>
  <c r="AY22" i="5" s="1"/>
  <c r="AX396" i="5"/>
  <c r="AY396" i="5" s="1"/>
  <c r="AX348" i="5"/>
  <c r="AY348" i="5" s="1"/>
  <c r="AX420" i="5"/>
  <c r="AY420" i="5" s="1"/>
  <c r="AX117" i="5"/>
  <c r="AY117" i="5" s="1"/>
  <c r="AX433" i="5"/>
  <c r="AY433" i="5" s="1"/>
  <c r="AX371" i="5"/>
  <c r="AY371" i="5" s="1"/>
  <c r="AX484" i="5"/>
  <c r="AY484" i="5" s="1"/>
  <c r="AX553" i="5"/>
  <c r="AY553" i="5" s="1"/>
  <c r="AX471" i="5"/>
  <c r="AY471" i="5" s="1"/>
  <c r="AX203" i="5"/>
  <c r="AY203" i="5" s="1"/>
  <c r="AX204" i="5"/>
  <c r="AY204" i="5" s="1"/>
  <c r="AX480" i="5"/>
  <c r="AY480" i="5" s="1"/>
  <c r="AX453" i="5"/>
  <c r="AY453" i="5" s="1"/>
  <c r="AR107" i="4"/>
  <c r="AT107" i="4" s="1"/>
  <c r="AX138" i="5"/>
  <c r="AY138" i="5" s="1"/>
  <c r="AX439" i="5"/>
  <c r="AY439" i="5" s="1"/>
  <c r="AX108" i="5"/>
  <c r="AY108" i="5" s="1"/>
  <c r="AR16" i="4"/>
  <c r="AT16" i="4" s="1"/>
  <c r="AX304" i="5"/>
  <c r="AY304" i="5" s="1"/>
  <c r="AX532" i="5"/>
  <c r="AY532" i="5" s="1"/>
  <c r="AX370" i="5"/>
  <c r="AY370" i="5" s="1"/>
  <c r="AR55" i="4"/>
  <c r="AT55" i="4" s="1"/>
  <c r="AR115" i="4"/>
  <c r="AT115" i="4" s="1"/>
  <c r="AR42" i="4"/>
  <c r="AT42" i="4" s="1"/>
  <c r="AX121" i="5"/>
  <c r="AY121" i="5" s="1"/>
  <c r="AX289" i="5"/>
  <c r="AY289" i="5" s="1"/>
  <c r="AX490" i="5"/>
  <c r="AY490" i="5" s="1"/>
  <c r="AR145" i="4"/>
  <c r="AT145" i="4" s="1"/>
  <c r="AX297" i="5"/>
  <c r="AY297" i="5" s="1"/>
  <c r="AX459" i="5"/>
  <c r="AY459" i="5" s="1"/>
  <c r="AX514" i="5"/>
  <c r="AY514" i="5" s="1"/>
  <c r="AX136" i="5"/>
  <c r="AY136" i="5" s="1"/>
  <c r="AR60" i="4"/>
  <c r="AT60" i="4" s="1"/>
  <c r="AX397" i="5"/>
  <c r="AY397" i="5" s="1"/>
  <c r="AX543" i="5"/>
  <c r="AY543" i="5" s="1"/>
  <c r="AX100" i="5"/>
  <c r="AY100" i="5" s="1"/>
  <c r="AX346" i="5"/>
  <c r="AY346" i="5" s="1"/>
  <c r="AX460" i="5"/>
  <c r="AY460" i="5" s="1"/>
  <c r="AX521" i="5"/>
  <c r="AY521" i="5" s="1"/>
  <c r="AX522" i="5"/>
  <c r="AY522" i="5" s="1"/>
  <c r="AO73" i="4"/>
  <c r="AG73" i="4"/>
  <c r="AI73" i="4" s="1"/>
  <c r="AX69" i="5"/>
  <c r="AY69" i="5" s="1"/>
  <c r="AX416" i="5"/>
  <c r="AY416" i="5" s="1"/>
  <c r="AX268" i="5"/>
  <c r="AY268" i="5" s="1"/>
  <c r="AX399" i="5"/>
  <c r="AY399" i="5" s="1"/>
  <c r="AX281" i="5"/>
  <c r="AY281" i="5" s="1"/>
  <c r="AX330" i="5"/>
  <c r="AY330" i="5" s="1"/>
  <c r="AX375" i="5"/>
  <c r="AY375" i="5" s="1"/>
  <c r="AX192" i="5"/>
  <c r="AY192" i="5" s="1"/>
  <c r="AX126" i="5"/>
  <c r="AY126" i="5" s="1"/>
  <c r="AX162" i="5"/>
  <c r="AY162" i="5" s="1"/>
  <c r="AX170" i="5"/>
  <c r="AY170" i="5" s="1"/>
  <c r="AX336" i="5"/>
  <c r="AY336" i="5" s="1"/>
  <c r="AX293" i="5"/>
  <c r="AY293" i="5" s="1"/>
  <c r="AR117" i="4"/>
  <c r="AT117" i="4" s="1"/>
  <c r="AX91" i="5"/>
  <c r="AY91" i="5" s="1"/>
  <c r="AR119" i="4"/>
  <c r="AT119" i="4" s="1"/>
  <c r="AX524" i="5"/>
  <c r="AY524" i="5" s="1"/>
  <c r="AX437" i="5"/>
  <c r="AY437" i="5" s="1"/>
  <c r="AR56" i="4"/>
  <c r="AT56" i="4" s="1"/>
  <c r="AX536" i="5"/>
  <c r="AY536" i="5" s="1"/>
  <c r="AX296" i="5"/>
  <c r="AY296" i="5" s="1"/>
  <c r="AX253" i="5"/>
  <c r="AY253" i="5" s="1"/>
  <c r="AX502" i="5"/>
  <c r="AY502" i="5" s="1"/>
  <c r="AX391" i="5"/>
  <c r="AY391" i="5" s="1"/>
  <c r="AX250" i="5"/>
  <c r="AY250" i="5" s="1"/>
  <c r="AX412" i="5"/>
  <c r="AY412" i="5" s="1"/>
  <c r="AX114" i="5"/>
  <c r="AY114" i="5" s="1"/>
  <c r="AR110" i="4"/>
  <c r="AT110" i="4" s="1"/>
  <c r="AX284" i="5"/>
  <c r="AY284" i="5" s="1"/>
  <c r="AX533" i="5"/>
  <c r="AY533" i="5" s="1"/>
  <c r="AX332" i="5"/>
  <c r="AY332" i="5" s="1"/>
  <c r="AX327" i="5"/>
  <c r="AY327" i="5" s="1"/>
  <c r="AR13" i="4"/>
  <c r="AT13" i="4" s="1"/>
  <c r="AX31" i="5"/>
  <c r="AY31" i="5" s="1"/>
  <c r="AR153" i="4"/>
  <c r="AT153" i="4" s="1"/>
  <c r="AX285" i="5"/>
  <c r="AY285" i="5" s="1"/>
  <c r="AX181" i="5"/>
  <c r="AY181" i="5" s="1"/>
  <c r="AX406" i="5"/>
  <c r="AY406" i="5" s="1"/>
  <c r="AX363" i="5"/>
  <c r="AY363" i="5" s="1"/>
  <c r="AX142" i="5"/>
  <c r="AY142" i="5" s="1"/>
  <c r="AX38" i="5"/>
  <c r="AY38" i="5" s="1"/>
  <c r="AX499" i="5"/>
  <c r="AY499" i="5" s="1"/>
  <c r="AR48" i="4"/>
  <c r="AT48" i="4" s="1"/>
  <c r="AG47" i="4" l="1"/>
  <c r="AI47" i="4" s="1"/>
  <c r="AX378" i="5"/>
  <c r="AY378" i="5" s="1"/>
  <c r="AX508" i="5"/>
  <c r="AY508" i="5" s="1"/>
  <c r="AX446" i="5"/>
  <c r="AY446" i="5" s="1"/>
  <c r="AY116" i="5"/>
  <c r="AX482" i="5"/>
  <c r="AY482" i="5" s="1"/>
  <c r="AX234" i="5"/>
  <c r="AY234" i="5" s="1"/>
  <c r="AY209" i="5"/>
  <c r="AX402" i="5"/>
  <c r="AY402" i="5" s="1"/>
  <c r="AX469" i="5"/>
  <c r="AY469" i="5" s="1"/>
  <c r="AX529" i="5"/>
  <c r="AY529" i="5" s="1"/>
  <c r="AX462" i="5"/>
  <c r="AY462" i="5" s="1"/>
  <c r="AX465" i="5"/>
  <c r="AY465" i="5" s="1"/>
  <c r="AX243" i="5"/>
  <c r="AY243" i="5" s="1"/>
  <c r="AX540" i="5"/>
  <c r="AY540" i="5" s="1"/>
  <c r="AR142" i="4"/>
  <c r="AT142" i="4" s="1"/>
  <c r="AX468" i="5"/>
  <c r="AY468" i="5" s="1"/>
  <c r="AX307" i="5"/>
  <c r="AY307" i="5" s="1"/>
  <c r="AX518" i="5"/>
  <c r="AY518" i="5" s="1"/>
  <c r="AX555" i="5"/>
  <c r="AY555" i="5" s="1"/>
  <c r="AX312" i="5"/>
  <c r="AY312" i="5" s="1"/>
  <c r="AX390" i="5"/>
  <c r="AY390" i="5" s="1"/>
  <c r="AX455" i="5"/>
  <c r="AY455" i="5" s="1"/>
  <c r="AX478" i="5"/>
  <c r="AY478" i="5" s="1"/>
  <c r="AX474" i="5"/>
  <c r="AY474" i="5" s="1"/>
  <c r="AX266" i="5"/>
  <c r="AY266" i="5" s="1"/>
  <c r="AX200" i="5"/>
  <c r="AY200" i="5" s="1"/>
  <c r="AX57" i="5"/>
  <c r="AY57" i="5" s="1"/>
  <c r="AX374" i="5"/>
  <c r="AY374" i="5" s="1"/>
  <c r="AX410" i="5"/>
  <c r="AY410" i="5" s="1"/>
  <c r="AR125" i="4"/>
  <c r="AT125" i="4" s="1"/>
  <c r="AX41" i="5"/>
  <c r="AY41" i="5" s="1"/>
  <c r="AG22" i="4"/>
  <c r="AI22" i="4" s="1"/>
  <c r="AR22" i="4" s="1"/>
  <c r="AT22" i="4" s="1"/>
  <c r="AX513" i="5"/>
  <c r="AY513" i="5" s="1"/>
  <c r="AX305" i="5"/>
  <c r="AY305" i="5" s="1"/>
  <c r="AX315" i="5"/>
  <c r="AY315" i="5" s="1"/>
  <c r="AX295" i="5"/>
  <c r="AY295" i="5" s="1"/>
  <c r="AX213" i="5"/>
  <c r="AY213" i="5" s="1"/>
  <c r="AX221" i="5"/>
  <c r="AY221" i="5" s="1"/>
  <c r="AX145" i="5"/>
  <c r="AY145" i="5" s="1"/>
  <c r="AX185" i="5"/>
  <c r="AY185" i="5" s="1"/>
  <c r="AX443" i="5"/>
  <c r="AY443" i="5" s="1"/>
  <c r="AX36" i="5"/>
  <c r="AY36" i="5" s="1"/>
  <c r="AX360" i="5"/>
  <c r="AY360" i="5" s="1"/>
  <c r="AX354" i="5"/>
  <c r="AY354" i="5" s="1"/>
  <c r="AX359" i="5"/>
  <c r="AY359" i="5" s="1"/>
  <c r="AX248" i="5"/>
  <c r="AY248" i="5" s="1"/>
  <c r="AX301" i="5"/>
  <c r="AY301" i="5" s="1"/>
  <c r="AX174" i="5"/>
  <c r="AY174" i="5" s="1"/>
  <c r="AX112" i="5"/>
  <c r="AY112" i="5" s="1"/>
  <c r="AX428" i="5"/>
  <c r="AY428" i="5" s="1"/>
  <c r="AX310" i="5"/>
  <c r="AY310" i="5" s="1"/>
  <c r="AX47" i="5"/>
  <c r="AY47" i="5" s="1"/>
  <c r="AX157" i="5"/>
  <c r="AY157" i="5" s="1"/>
  <c r="AX493" i="5"/>
  <c r="AY493" i="5" s="1"/>
  <c r="AX119" i="5"/>
  <c r="AY119" i="5" s="1"/>
  <c r="AX344" i="5"/>
  <c r="AY344" i="5" s="1"/>
  <c r="AX60" i="5"/>
  <c r="AY60" i="5" s="1"/>
  <c r="AX461" i="5"/>
  <c r="AY461" i="5" s="1"/>
  <c r="AX259" i="5"/>
  <c r="AY259" i="5" s="1"/>
  <c r="AX238" i="5"/>
  <c r="AY238" i="5" s="1"/>
  <c r="AX403" i="5"/>
  <c r="AY403" i="5" s="1"/>
  <c r="AX194" i="5"/>
  <c r="AY194" i="5" s="1"/>
  <c r="AX66" i="5"/>
  <c r="AY66" i="5" s="1"/>
  <c r="AX93" i="5"/>
  <c r="AY93" i="5" s="1"/>
  <c r="AX178" i="5"/>
  <c r="AY178" i="5" s="1"/>
  <c r="AX263" i="5"/>
  <c r="AY263" i="5" s="1"/>
  <c r="AX89" i="5"/>
  <c r="AY89" i="5" s="1"/>
  <c r="AX244" i="5"/>
  <c r="AY244" i="5" s="1"/>
  <c r="AX140" i="5"/>
  <c r="AY140" i="5" s="1"/>
  <c r="AX276" i="5"/>
  <c r="AY276" i="5" s="1"/>
  <c r="AX220" i="5"/>
  <c r="AY220" i="5" s="1"/>
  <c r="AX210" i="5"/>
  <c r="AY210" i="5" s="1"/>
  <c r="AX550" i="5"/>
  <c r="AY550" i="5" s="1"/>
  <c r="AX452" i="5"/>
  <c r="AY452" i="5" s="1"/>
  <c r="AX75" i="5"/>
  <c r="AY75" i="5" s="1"/>
  <c r="AX383" i="5"/>
  <c r="AY383" i="5" s="1"/>
  <c r="AX404" i="5"/>
  <c r="AY404" i="5" s="1"/>
  <c r="AX401" i="5"/>
  <c r="AY401" i="5" s="1"/>
  <c r="AX230" i="5"/>
  <c r="AY230" i="5" s="1"/>
  <c r="AX317" i="5"/>
  <c r="AY317" i="5" s="1"/>
  <c r="AX554" i="5"/>
  <c r="AY554" i="5" s="1"/>
  <c r="AX149" i="5"/>
  <c r="AY149" i="5" s="1"/>
  <c r="AX104" i="5"/>
  <c r="AY104" i="5" s="1"/>
  <c r="AX237" i="5"/>
  <c r="AY237" i="5" s="1"/>
  <c r="AX82" i="5"/>
  <c r="AY82" i="5" s="1"/>
  <c r="AX133" i="5"/>
  <c r="AY133" i="5" s="1"/>
  <c r="AX110" i="5"/>
  <c r="AY110" i="5" s="1"/>
  <c r="AX377" i="5"/>
  <c r="AY377" i="5" s="1"/>
  <c r="AX217" i="5"/>
  <c r="AY217" i="5" s="1"/>
  <c r="AX228" i="5"/>
  <c r="AY228" i="5" s="1"/>
  <c r="AX98" i="5"/>
  <c r="AY98" i="5" s="1"/>
  <c r="AX492" i="5"/>
  <c r="AY492" i="5" s="1"/>
  <c r="AX501" i="5"/>
  <c r="AY501" i="5" s="1"/>
  <c r="AX496" i="5"/>
  <c r="AY496" i="5" s="1"/>
  <c r="AX74" i="5"/>
  <c r="AY74" i="5" s="1"/>
  <c r="AX167" i="5"/>
  <c r="AY167" i="5" s="1"/>
  <c r="AX405" i="5"/>
  <c r="AY405" i="5" s="1"/>
  <c r="AX131" i="5"/>
  <c r="AY131" i="5" s="1"/>
  <c r="AX387" i="5"/>
  <c r="AY387" i="5" s="1"/>
  <c r="AX65" i="5"/>
  <c r="AY65" i="5" s="1"/>
  <c r="AX400" i="5"/>
  <c r="AY400" i="5" s="1"/>
  <c r="AX156" i="5"/>
  <c r="AY156" i="5" s="1"/>
  <c r="AX64" i="5"/>
  <c r="AY64" i="5" s="1"/>
  <c r="AX409" i="5"/>
  <c r="AY409" i="5" s="1"/>
  <c r="AX196" i="5"/>
  <c r="AY196" i="5" s="1"/>
  <c r="AX473" i="5"/>
  <c r="AY473" i="5" s="1"/>
  <c r="AX528" i="5"/>
  <c r="AY528" i="5" s="1"/>
  <c r="AO133" i="4"/>
  <c r="AR133" i="4" s="1"/>
  <c r="AT133" i="4" s="1"/>
  <c r="AX291" i="5"/>
  <c r="AY291" i="5" s="1"/>
  <c r="AX527" i="5"/>
  <c r="AY527" i="5" s="1"/>
  <c r="AR12" i="4"/>
  <c r="AT12" i="4" s="1"/>
  <c r="AX320" i="5"/>
  <c r="AY320" i="5" s="1"/>
  <c r="AX271" i="5"/>
  <c r="AY271" i="5" s="1"/>
  <c r="AX558" i="5"/>
  <c r="AY558" i="5" s="1"/>
  <c r="AX249" i="5"/>
  <c r="AY249" i="5" s="1"/>
  <c r="AX510" i="5"/>
  <c r="AY510" i="5" s="1"/>
  <c r="AX322" i="5"/>
  <c r="AY322" i="5" s="1"/>
  <c r="AG26" i="4"/>
  <c r="AI26" i="4" s="1"/>
  <c r="AO26" i="4"/>
  <c r="AX340" i="5"/>
  <c r="AY340" i="5" s="1"/>
  <c r="AX298" i="5"/>
  <c r="AY298" i="5" s="1"/>
  <c r="AK155" i="4"/>
  <c r="AA130" i="4"/>
  <c r="AC130" i="4" s="1"/>
  <c r="AD130" i="4" s="1"/>
  <c r="AA144" i="4"/>
  <c r="AC144" i="4" s="1"/>
  <c r="AD144" i="4" s="1"/>
  <c r="AA155" i="4"/>
  <c r="AC155" i="4" s="1"/>
  <c r="AD155" i="4" s="1"/>
  <c r="AX235" i="5"/>
  <c r="AY235" i="5" s="1"/>
  <c r="AX292" i="5"/>
  <c r="AY292" i="5" s="1"/>
  <c r="AX486" i="5"/>
  <c r="AY486" i="5" s="1"/>
  <c r="AX497" i="5"/>
  <c r="AY497" i="5" s="1"/>
  <c r="AX457" i="5"/>
  <c r="AY457" i="5" s="1"/>
  <c r="AR84" i="4"/>
  <c r="AT84" i="4" s="1"/>
  <c r="AR79" i="4"/>
  <c r="AT79" i="4" s="1"/>
  <c r="AK144" i="4"/>
  <c r="AX325" i="5"/>
  <c r="AY325" i="5" s="1"/>
  <c r="AG130" i="4"/>
  <c r="AI130" i="4" s="1"/>
  <c r="AO130" i="4"/>
  <c r="AO62" i="4"/>
  <c r="AG62" i="4"/>
  <c r="AI62" i="4" s="1"/>
  <c r="AG10" i="4"/>
  <c r="AI10" i="4" s="1"/>
  <c r="AO10" i="4"/>
  <c r="AK141" i="4"/>
  <c r="AF141" i="4"/>
  <c r="AO101" i="4"/>
  <c r="AG101" i="4"/>
  <c r="AI101" i="4" s="1"/>
  <c r="AG144" i="4"/>
  <c r="AI144" i="4" s="1"/>
  <c r="AO144" i="4"/>
  <c r="AG94" i="4"/>
  <c r="AI94" i="4" s="1"/>
  <c r="AO94" i="4"/>
  <c r="AO58" i="4"/>
  <c r="AG58" i="4"/>
  <c r="AI58" i="4" s="1"/>
  <c r="AK130" i="4"/>
  <c r="AR132" i="4"/>
  <c r="AT132" i="4" s="1"/>
  <c r="AG24" i="4"/>
  <c r="AI24" i="4" s="1"/>
  <c r="AO24" i="4"/>
  <c r="AR105" i="4"/>
  <c r="AT105" i="4" s="1"/>
  <c r="AO155" i="4"/>
  <c r="AG155" i="4"/>
  <c r="AI155" i="4" s="1"/>
  <c r="AR140" i="4"/>
  <c r="AT140" i="4" s="1"/>
  <c r="AG83" i="4"/>
  <c r="AI83" i="4" s="1"/>
  <c r="AO83" i="4"/>
  <c r="AG34" i="4"/>
  <c r="AI34" i="4" s="1"/>
  <c r="AO34" i="4"/>
  <c r="AG59" i="4"/>
  <c r="AI59" i="4" s="1"/>
  <c r="AO59" i="4"/>
  <c r="AG21" i="4"/>
  <c r="AI21" i="4" s="1"/>
  <c r="AO21" i="4"/>
  <c r="AX207" i="5"/>
  <c r="AY207" i="5" s="1"/>
  <c r="AX233" i="5"/>
  <c r="AY233" i="5" s="1"/>
  <c r="AR76" i="4"/>
  <c r="AT76" i="4" s="1"/>
  <c r="AX549" i="5"/>
  <c r="AY549" i="5" s="1"/>
  <c r="AX195" i="5"/>
  <c r="AY195" i="5" s="1"/>
  <c r="AX546" i="5"/>
  <c r="AY546" i="5" s="1"/>
  <c r="AX442" i="5"/>
  <c r="AY442" i="5" s="1"/>
  <c r="AR86" i="4"/>
  <c r="AT86" i="4" s="1"/>
  <c r="AR8" i="4"/>
  <c r="AT8" i="4" s="1"/>
  <c r="AR54" i="4"/>
  <c r="AT54" i="4" s="1"/>
  <c r="AX352" i="5"/>
  <c r="AY352" i="5" s="1"/>
  <c r="AX422" i="5"/>
  <c r="AY422" i="5" s="1"/>
  <c r="AX51" i="5"/>
  <c r="AY51" i="5" s="1"/>
  <c r="AX545" i="5"/>
  <c r="AY545" i="5" s="1"/>
  <c r="AX534" i="5"/>
  <c r="AY534" i="5" s="1"/>
  <c r="AX419" i="5"/>
  <c r="AY419" i="5" s="1"/>
  <c r="AX190" i="5"/>
  <c r="AY190" i="5" s="1"/>
  <c r="AX55" i="5"/>
  <c r="AY55" i="5" s="1"/>
  <c r="AX541" i="5"/>
  <c r="AY541" i="5" s="1"/>
  <c r="AX526" i="5"/>
  <c r="AY526" i="5" s="1"/>
  <c r="AX246" i="5"/>
  <c r="AY246" i="5" s="1"/>
  <c r="AX357" i="5"/>
  <c r="AY357" i="5" s="1"/>
  <c r="AX95" i="5"/>
  <c r="AY95" i="5" s="1"/>
  <c r="AX124" i="5"/>
  <c r="AY124" i="5" s="1"/>
  <c r="AX106" i="5"/>
  <c r="AY106" i="5" s="1"/>
  <c r="AX164" i="5"/>
  <c r="AY164" i="5" s="1"/>
  <c r="AX61" i="5"/>
  <c r="AY61" i="5" s="1"/>
  <c r="AX171" i="5"/>
  <c r="AY171" i="5" s="1"/>
  <c r="AX154" i="5"/>
  <c r="AY154" i="5" s="1"/>
  <c r="AX152" i="5"/>
  <c r="AY152" i="5" s="1"/>
  <c r="AX27" i="5"/>
  <c r="AY27" i="5" s="1"/>
  <c r="AX516" i="5"/>
  <c r="AY516" i="5" s="1"/>
  <c r="AX227" i="5"/>
  <c r="AY227" i="5" s="1"/>
  <c r="AX88" i="5"/>
  <c r="AY88" i="5" s="1"/>
  <c r="AX519" i="5"/>
  <c r="AY519" i="5" s="1"/>
  <c r="AX366" i="5"/>
  <c r="AY366" i="5" s="1"/>
  <c r="AX242" i="5"/>
  <c r="AY242" i="5" s="1"/>
  <c r="AX189" i="5"/>
  <c r="AY189" i="5" s="1"/>
  <c r="AX441" i="5"/>
  <c r="AY441" i="5" s="1"/>
  <c r="B128" i="2"/>
  <c r="B134" i="2" s="1"/>
  <c r="AX50" i="5"/>
  <c r="AY50" i="5" s="1"/>
  <c r="AX40" i="5"/>
  <c r="AY40" i="5" s="1"/>
  <c r="AX29" i="5"/>
  <c r="AY29" i="5" s="1"/>
  <c r="AX414" i="5"/>
  <c r="AY414" i="5" s="1"/>
  <c r="AX155" i="5"/>
  <c r="AY155" i="5" s="1"/>
  <c r="AX334" i="5"/>
  <c r="AY334" i="5" s="1"/>
  <c r="AX430" i="5"/>
  <c r="AY430" i="5" s="1"/>
  <c r="K142" i="2"/>
  <c r="B131" i="2"/>
  <c r="B132" i="2" s="1"/>
  <c r="AR20" i="4"/>
  <c r="AT20" i="4" s="1"/>
  <c r="AX530" i="5"/>
  <c r="AY530" i="5" s="1"/>
  <c r="AR23" i="4"/>
  <c r="AT23" i="4" s="1"/>
  <c r="AR135" i="4"/>
  <c r="AT135" i="4" s="1"/>
  <c r="AR109" i="4"/>
  <c r="AT109" i="4" s="1"/>
  <c r="AR127" i="4"/>
  <c r="AT127" i="4" s="1"/>
  <c r="AR38" i="4"/>
  <c r="AT38" i="4" s="1"/>
  <c r="AR35" i="4"/>
  <c r="AT35" i="4" s="1"/>
  <c r="AR39" i="4"/>
  <c r="AT39" i="4" s="1"/>
  <c r="AR100" i="4"/>
  <c r="AT100" i="4" s="1"/>
  <c r="AR95" i="4"/>
  <c r="AT95" i="4" s="1"/>
  <c r="AR52" i="4"/>
  <c r="AT52" i="4" s="1"/>
  <c r="AR157" i="4"/>
  <c r="AT157" i="4" s="1"/>
  <c r="AR47" i="4"/>
  <c r="AT47" i="4" s="1"/>
  <c r="AR64" i="4"/>
  <c r="AT64" i="4" s="1"/>
  <c r="AR116" i="4"/>
  <c r="AT116" i="4" s="1"/>
  <c r="AR128" i="4"/>
  <c r="AT128" i="4" s="1"/>
  <c r="AR14" i="4"/>
  <c r="AT14" i="4" s="1"/>
  <c r="AR148" i="4"/>
  <c r="AT148" i="4" s="1"/>
  <c r="AR63" i="4"/>
  <c r="AT63" i="4" s="1"/>
  <c r="AR7" i="4"/>
  <c r="AT7" i="4" s="1"/>
  <c r="AR77" i="4"/>
  <c r="AT77" i="4" s="1"/>
  <c r="AR126" i="4"/>
  <c r="AT126" i="4" s="1"/>
  <c r="AR69" i="4"/>
  <c r="AT69" i="4" s="1"/>
  <c r="AR150" i="4"/>
  <c r="AT150" i="4" s="1"/>
  <c r="AR137" i="4"/>
  <c r="AT137" i="4" s="1"/>
  <c r="AR37" i="4"/>
  <c r="AT37" i="4" s="1"/>
  <c r="AR93" i="4"/>
  <c r="AT93" i="4" s="1"/>
  <c r="AR134" i="4"/>
  <c r="AT134" i="4" s="1"/>
  <c r="AR73" i="4"/>
  <c r="AT73" i="4" s="1"/>
  <c r="AR91" i="4"/>
  <c r="AT91" i="4" s="1"/>
  <c r="AR26" i="4" l="1"/>
  <c r="AT26" i="4" s="1"/>
  <c r="AR59" i="4"/>
  <c r="AT59" i="4" s="1"/>
  <c r="AR94" i="4"/>
  <c r="AT94" i="4" s="1"/>
  <c r="AR10" i="4"/>
  <c r="AT10" i="4" s="1"/>
  <c r="AR34" i="4"/>
  <c r="AT34" i="4" s="1"/>
  <c r="AR24" i="4"/>
  <c r="AT24" i="4" s="1"/>
  <c r="AR144" i="4"/>
  <c r="AT144" i="4" s="1"/>
  <c r="AR155" i="4"/>
  <c r="AT155" i="4" s="1"/>
  <c r="AR130" i="4"/>
  <c r="AT130" i="4" s="1"/>
  <c r="AR21" i="4"/>
  <c r="AT21" i="4" s="1"/>
  <c r="AG141" i="4"/>
  <c r="AI141" i="4" s="1"/>
  <c r="AO141" i="4"/>
  <c r="AR58" i="4"/>
  <c r="AT58" i="4" s="1"/>
  <c r="AR62" i="4"/>
  <c r="AT62" i="4" s="1"/>
  <c r="AR83" i="4"/>
  <c r="AT83" i="4" s="1"/>
  <c r="AR101" i="4"/>
  <c r="AT101" i="4" s="1"/>
  <c r="AY14" i="5"/>
  <c r="D69" i="5" s="1"/>
  <c r="B69" i="5" s="1"/>
  <c r="A69" i="5" s="1"/>
  <c r="L68" i="1" s="1"/>
  <c r="K136" i="2"/>
  <c r="B136" i="2" s="1"/>
  <c r="H31" i="1" s="1"/>
  <c r="AY12" i="5"/>
  <c r="D68" i="5" s="1"/>
  <c r="B68" i="5" s="1"/>
  <c r="A68" i="5" s="1"/>
  <c r="L67" i="1" s="1"/>
  <c r="B135" i="2"/>
  <c r="H30" i="1" s="1"/>
  <c r="AR141" i="4" l="1"/>
  <c r="AT14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BMC-BCS</author>
    <author>Schauer, Stefan</author>
  </authors>
  <commentList>
    <comment ref="A3" authorId="0" shapeId="0" xr:uid="{00000000-0006-0000-0000-000001000000}">
      <text>
        <r>
          <rPr>
            <b/>
            <sz val="11"/>
            <color indexed="10"/>
            <rFont val="Tahoma"/>
            <family val="2"/>
          </rPr>
          <t>Welcome to the LM5155 Design Tool</t>
        </r>
        <r>
          <rPr>
            <sz val="9"/>
            <color indexed="81"/>
            <rFont val="Tahoma"/>
            <family val="2"/>
          </rPr>
          <t xml:space="preserve">
This stand-alone tool facilitates and assists the power supply engineer with design of a DC-DC boost converter based on the LM5155 boost controller. As such, the user can expeditiously arrive at an optimized design by virtue of the following:
- Select components
- Optimize compensation values and pole/zero placement in terms of control loop stability using crossover frquency as a performance metric
- Inspect regulator efficiency and component power dissipation
- Analyze efficiency based on selected MOSFET, inductor and diode parameters
Note: When not using an english Excel version and a #name error is displayed after change a value try pressing Shift+ALT+CTRL+F9 and change the value again.
IMPORTANT: You must enable macros if Microsoft Excel asks as the file is being opened. U.S. English notation is used throughout. Make sure to input or select values in all of the yellow shaded cells even if a value already exists in that cell. Do not over write equations in cells, as this may result in calculation errors.
</t>
        </r>
      </text>
    </comment>
    <comment ref="G7" authorId="0" shapeId="0" xr:uid="{00000000-0006-0000-0000-000003000000}">
      <text>
        <r>
          <rPr>
            <b/>
            <sz val="9"/>
            <color indexed="81"/>
            <rFont val="Tahoma"/>
            <family val="2"/>
          </rPr>
          <t xml:space="preserve">Minimum Input Voltage:
</t>
        </r>
        <r>
          <rPr>
            <sz val="9"/>
            <color indexed="81"/>
            <rFont val="Tahoma"/>
            <family val="2"/>
          </rPr>
          <t>Enter the minimum operating input voltage.
The LM5155 BIAS pin voltage operating range is 3.5V to 45V.
The LM5156 BIAS pin voltage operating range is 3.5V to 60V.
If low voltage operation is required the BIAS pin can be supplied with V</t>
        </r>
        <r>
          <rPr>
            <vertAlign val="subscript"/>
            <sz val="9"/>
            <color indexed="81"/>
            <rFont val="Tahoma"/>
            <family val="2"/>
          </rPr>
          <t>OUT</t>
        </r>
        <r>
          <rPr>
            <sz val="9"/>
            <color indexed="81"/>
            <rFont val="Tahoma"/>
            <family val="2"/>
          </rPr>
          <t xml:space="preserve"> extending operation to 1.5V</t>
        </r>
        <r>
          <rPr>
            <b/>
            <sz val="9"/>
            <color indexed="81"/>
            <rFont val="Tahoma"/>
            <family val="2"/>
          </rPr>
          <t xml:space="preserve">
</t>
        </r>
        <r>
          <rPr>
            <b/>
            <sz val="9"/>
            <color indexed="52"/>
            <rFont val="Tahoma"/>
            <family val="2"/>
          </rPr>
          <t>The text in the cell is flagged orange if:</t>
        </r>
        <r>
          <rPr>
            <b/>
            <sz val="9"/>
            <color indexed="81"/>
            <rFont val="Tahoma"/>
            <family val="2"/>
          </rPr>
          <t xml:space="preserve">
</t>
        </r>
        <r>
          <rPr>
            <sz val="9"/>
            <color indexed="81"/>
            <rFont val="Tahoma"/>
            <family val="2"/>
          </rPr>
          <t>-The input voltage is above 45V</t>
        </r>
        <r>
          <rPr>
            <b/>
            <sz val="9"/>
            <color indexed="81"/>
            <rFont val="Tahoma"/>
            <family val="2"/>
          </rPr>
          <t xml:space="preserve">
</t>
        </r>
        <r>
          <rPr>
            <b/>
            <sz val="9"/>
            <color indexed="10"/>
            <rFont val="Tahoma"/>
            <family val="2"/>
          </rPr>
          <t>The text in the cell is flagged red if:</t>
        </r>
        <r>
          <rPr>
            <b/>
            <sz val="9"/>
            <color indexed="81"/>
            <rFont val="Tahoma"/>
            <family val="2"/>
          </rPr>
          <t xml:space="preserve">
</t>
        </r>
        <r>
          <rPr>
            <sz val="9"/>
            <color indexed="81"/>
            <rFont val="Tahoma"/>
            <family val="2"/>
          </rPr>
          <t>-The input voltage is above 60V
-The input voltage is below 1.5V</t>
        </r>
      </text>
    </comment>
    <comment ref="G8" authorId="0" shapeId="0" xr:uid="{00000000-0006-0000-0000-000004000000}">
      <text>
        <r>
          <rPr>
            <b/>
            <sz val="9"/>
            <color rgb="FF000000"/>
            <rFont val="Tahoma"/>
            <family val="2"/>
          </rPr>
          <t xml:space="preserve">Nominal Input Voltage:
</t>
        </r>
        <r>
          <rPr>
            <sz val="9"/>
            <color rgb="FF000000"/>
            <rFont val="Tahoma"/>
            <family val="2"/>
          </rPr>
          <t xml:space="preserve">Enter the nominal operating input voltage.
</t>
        </r>
        <r>
          <rPr>
            <sz val="9"/>
            <color rgb="FF000000"/>
            <rFont val="Tahoma"/>
            <family val="2"/>
          </rPr>
          <t>The LM5155 input voltage operating range is 1.5V to 45V.</t>
        </r>
        <r>
          <rPr>
            <b/>
            <sz val="9"/>
            <color rgb="FF000000"/>
            <rFont val="Tahoma"/>
            <family val="2"/>
          </rPr>
          <t xml:space="preserve">
</t>
        </r>
        <r>
          <rPr>
            <sz val="9"/>
            <color rgb="FF000000"/>
            <rFont val="Tahoma"/>
            <family val="2"/>
          </rPr>
          <t xml:space="preserve">The LM5156 input voltage operating range is 1.5V to 60V.
</t>
        </r>
        <r>
          <rPr>
            <b/>
            <sz val="9"/>
            <color rgb="FF000000"/>
            <rFont val="Tahoma"/>
            <family val="2"/>
          </rPr>
          <t xml:space="preserve">
</t>
        </r>
        <r>
          <rPr>
            <b/>
            <sz val="9"/>
            <color rgb="FFFF0000"/>
            <rFont val="Tahoma"/>
            <family val="2"/>
          </rPr>
          <t>The text in the cell is flagged red if:</t>
        </r>
        <r>
          <rPr>
            <b/>
            <sz val="9"/>
            <color rgb="FF000000"/>
            <rFont val="Tahoma"/>
            <family val="2"/>
          </rPr>
          <t xml:space="preserve">
</t>
        </r>
        <r>
          <rPr>
            <sz val="9"/>
            <color rgb="FF000000"/>
            <rFont val="Tahoma"/>
            <family val="2"/>
          </rPr>
          <t>-The input voltage is above V</t>
        </r>
        <r>
          <rPr>
            <vertAlign val="subscript"/>
            <sz val="9"/>
            <color rgb="FF000000"/>
            <rFont val="Tahoma"/>
            <family val="2"/>
          </rPr>
          <t>SUPPLY</t>
        </r>
        <r>
          <rPr>
            <sz val="9"/>
            <color rgb="FF000000"/>
            <rFont val="Tahoma"/>
            <family val="2"/>
          </rPr>
          <t xml:space="preserve">(max)
</t>
        </r>
        <r>
          <rPr>
            <sz val="9"/>
            <color rgb="FF000000"/>
            <rFont val="Tahoma"/>
            <family val="2"/>
          </rPr>
          <t>-The input voltage is below V</t>
        </r>
        <r>
          <rPr>
            <vertAlign val="subscript"/>
            <sz val="9"/>
            <color rgb="FF000000"/>
            <rFont val="Tahoma"/>
            <family val="2"/>
          </rPr>
          <t>SUPPLY</t>
        </r>
        <r>
          <rPr>
            <sz val="9"/>
            <color rgb="FF000000"/>
            <rFont val="Tahoma"/>
            <family val="2"/>
          </rPr>
          <t>(min)</t>
        </r>
      </text>
    </comment>
    <comment ref="G9" authorId="0" shapeId="0" xr:uid="{00000000-0006-0000-0000-000005000000}">
      <text>
        <r>
          <rPr>
            <b/>
            <sz val="9"/>
            <color indexed="81"/>
            <rFont val="Tahoma"/>
            <family val="2"/>
          </rPr>
          <t>Maximum Input Voltage:</t>
        </r>
        <r>
          <rPr>
            <sz val="9"/>
            <color indexed="81"/>
            <rFont val="Tahoma"/>
            <family val="2"/>
          </rPr>
          <t xml:space="preserve">
Enter the maximum operating input voltage.
The LM5155 input voltage operating range is 1.5V to 45V.
The LM5156 input voltage operating range is 1.5V to 60V.
</t>
        </r>
        <r>
          <rPr>
            <b/>
            <sz val="9"/>
            <color indexed="10"/>
            <rFont val="Tahoma"/>
            <family val="2"/>
          </rPr>
          <t xml:space="preserve">
</t>
        </r>
        <r>
          <rPr>
            <b/>
            <sz val="9"/>
            <color indexed="52"/>
            <rFont val="Tahoma"/>
            <family val="2"/>
          </rPr>
          <t>The text in the cell is flagged orange if:</t>
        </r>
        <r>
          <rPr>
            <b/>
            <sz val="9"/>
            <color indexed="10"/>
            <rFont val="Tahoma"/>
            <family val="2"/>
          </rPr>
          <t xml:space="preserve">
</t>
        </r>
        <r>
          <rPr>
            <sz val="9"/>
            <color indexed="81"/>
            <rFont val="Tahoma"/>
            <family val="2"/>
          </rPr>
          <t>-The input voltage is above 45V</t>
        </r>
        <r>
          <rPr>
            <b/>
            <sz val="9"/>
            <color indexed="10"/>
            <rFont val="Tahoma"/>
            <family val="2"/>
          </rPr>
          <t xml:space="preserve">
The text in the cell is flagged red if:</t>
        </r>
        <r>
          <rPr>
            <sz val="9"/>
            <color indexed="81"/>
            <rFont val="Tahoma"/>
            <family val="2"/>
          </rPr>
          <t xml:space="preserve">
-The input voltage is above 60V
-The input voltage is below 1.5V
</t>
        </r>
      </text>
    </comment>
    <comment ref="G10" authorId="0" shapeId="0" xr:uid="{00000000-0006-0000-0000-000006000000}">
      <text>
        <r>
          <rPr>
            <b/>
            <sz val="9"/>
            <color indexed="81"/>
            <rFont val="Tahoma"/>
            <family val="2"/>
          </rPr>
          <t>Output Voltage:</t>
        </r>
        <r>
          <rPr>
            <sz val="9"/>
            <color indexed="81"/>
            <rFont val="Tahoma"/>
            <family val="2"/>
          </rPr>
          <t xml:space="preserve">
Enter the desired output voltage.
</t>
        </r>
      </text>
    </comment>
    <comment ref="G12" authorId="0" shapeId="0" xr:uid="{00000000-0006-0000-0000-000007000000}">
      <text>
        <r>
          <rPr>
            <b/>
            <sz val="9"/>
            <color indexed="81"/>
            <rFont val="Tahoma"/>
            <family val="2"/>
          </rPr>
          <t>Operating Frequency (set by RT):</t>
        </r>
        <r>
          <rPr>
            <sz val="9"/>
            <color indexed="81"/>
            <rFont val="Tahoma"/>
            <family val="2"/>
          </rPr>
          <t xml:space="preserve">
This cell defines the free-running switching frequency set by the RT resistor. 
</t>
        </r>
        <r>
          <rPr>
            <sz val="11"/>
            <color indexed="10"/>
            <rFont val="Calibri"/>
            <family val="2"/>
            <scheme val="minor"/>
          </rPr>
          <t>The text in the cell is flagged red if:</t>
        </r>
        <r>
          <rPr>
            <sz val="9"/>
            <color indexed="81"/>
            <rFont val="Tahoma"/>
            <family val="2"/>
          </rPr>
          <t xml:space="preserve">
-The frequency is below 100 kHz
-The frequency is above 2.2 MHz</t>
        </r>
      </text>
    </comment>
    <comment ref="G14" authorId="0" shapeId="0" xr:uid="{00000000-0006-0000-0000-000008000000}">
      <text>
        <r>
          <rPr>
            <b/>
            <sz val="9"/>
            <color rgb="FF000000"/>
            <rFont val="Tahoma"/>
            <family val="2"/>
          </rPr>
          <t xml:space="preserve">Estimated Efficiency
</t>
        </r>
        <r>
          <rPr>
            <sz val="9"/>
            <color rgb="FF000000"/>
            <rFont val="Tahoma"/>
            <family val="2"/>
          </rPr>
          <t>A good estimate at full load current and Vsupply(min) is around the 90% to 93% range</t>
        </r>
      </text>
    </comment>
    <comment ref="G16" authorId="0" shapeId="0" xr:uid="{00000000-0006-0000-0000-000009000000}">
      <text>
        <r>
          <rPr>
            <b/>
            <sz val="9"/>
            <color rgb="FF000000"/>
            <rFont val="Tahoma"/>
            <family val="2"/>
          </rPr>
          <t xml:space="preserve">Maximum duty cycle
</t>
        </r>
        <r>
          <rPr>
            <sz val="9"/>
            <color rgb="FF000000"/>
            <rFont val="Tahoma"/>
            <family val="2"/>
          </rPr>
          <t xml:space="preserve">Limit of the LM5155. See the datasheet for more detail on how the maximum duty cycle changes with switching frequency
</t>
        </r>
      </text>
    </comment>
    <comment ref="G17" authorId="1" shapeId="0" xr:uid="{08B8E066-477C-411E-B516-1DCAD11E8DA9}">
      <text>
        <r>
          <rPr>
            <b/>
            <sz val="9"/>
            <color rgb="FF000000"/>
            <rFont val="Tahoma"/>
            <family val="2"/>
          </rPr>
          <t xml:space="preserve">Ideal Duty Cycle at Vsupply(MIN):
</t>
        </r>
        <r>
          <rPr>
            <sz val="9"/>
            <color rgb="FF000000"/>
            <rFont val="Tahoma"/>
            <family val="2"/>
          </rPr>
          <t xml:space="preserve">
</t>
        </r>
        <r>
          <rPr>
            <sz val="9"/>
            <color rgb="FF000000"/>
            <rFont val="Tahoma"/>
            <family val="2"/>
          </rPr>
          <t xml:space="preserve">Calculated with  1- (VIN_min/VOUT). 
</t>
        </r>
        <r>
          <rPr>
            <sz val="9"/>
            <color rgb="FF000000"/>
            <rFont val="Tahoma"/>
            <family val="2"/>
          </rPr>
          <t xml:space="preserve">
</t>
        </r>
        <r>
          <rPr>
            <b/>
            <sz val="9"/>
            <color rgb="FFFF0000"/>
            <rFont val="Tahoma"/>
            <family val="2"/>
          </rPr>
          <t xml:space="preserve">The text in the cell is flagged red if:
</t>
        </r>
        <r>
          <rPr>
            <sz val="9"/>
            <color rgb="FF000000"/>
            <rFont val="Tahoma"/>
            <family val="2"/>
          </rPr>
          <t xml:space="preserve">- The duty cycle is above the Limit value (in the cell above)
</t>
        </r>
        <r>
          <rPr>
            <sz val="9"/>
            <color rgb="FF000000"/>
            <rFont val="Tahoma"/>
            <family val="2"/>
          </rPr>
          <t xml:space="preserve">  Based on the limits given in the datasheet
</t>
        </r>
      </text>
    </comment>
    <comment ref="G18" authorId="1" shapeId="0" xr:uid="{74A21C24-1F16-4017-9418-3CDE4814AE31}">
      <text>
        <r>
          <rPr>
            <b/>
            <sz val="9"/>
            <color indexed="81"/>
            <rFont val="Tahoma"/>
            <family val="2"/>
          </rPr>
          <t xml:space="preserve">Select the Operation mode:
</t>
        </r>
        <r>
          <rPr>
            <sz val="9"/>
            <color indexed="81"/>
            <rFont val="Tahoma"/>
            <family val="2"/>
          </rPr>
          <t xml:space="preserve">Select the operation mode at maximum load:
CCM: Continious Contuction Mode
DCM: Discontinious Contuction Mode
</t>
        </r>
      </text>
    </comment>
    <comment ref="G21" authorId="0" shapeId="0" xr:uid="{00000000-0006-0000-0000-00000A000000}">
      <text>
        <r>
          <rPr>
            <b/>
            <sz val="9"/>
            <color rgb="FF000000"/>
            <rFont val="Tahoma"/>
            <family val="2"/>
          </rPr>
          <t>Ripple Ratio</t>
        </r>
        <r>
          <rPr>
            <sz val="9"/>
            <color rgb="FF000000"/>
            <rFont val="Tahoma"/>
            <family val="2"/>
          </rPr>
          <t xml:space="preserve">
</t>
        </r>
        <r>
          <rPr>
            <sz val="9"/>
            <color rgb="FF000000"/>
            <rFont val="Tahoma"/>
            <family val="2"/>
          </rPr>
          <t xml:space="preserve">Select the maximum ripple ratio of the inductor current. The maximum ripple ratio occurs when the duty cycle is 33%. 
</t>
        </r>
        <r>
          <rPr>
            <sz val="9"/>
            <color rgb="FF000000"/>
            <rFont val="Tahoma"/>
            <family val="2"/>
          </rPr>
          <t xml:space="preserve">
</t>
        </r>
        <r>
          <rPr>
            <sz val="9"/>
            <color rgb="FF000000"/>
            <rFont val="Tahoma"/>
            <family val="2"/>
          </rPr>
          <t>Typically a good maximum ripple current is in the 50% to 70% range. In this range there is a good trade off between efficiency and the minimum RHP zero frequency of the plant</t>
        </r>
      </text>
    </comment>
    <comment ref="G23" authorId="0" shapeId="0" xr:uid="{00000000-0006-0000-0000-00000B000000}">
      <text>
        <r>
          <rPr>
            <b/>
            <sz val="9"/>
            <color rgb="FF000000"/>
            <rFont val="Tahoma"/>
            <family val="2"/>
          </rPr>
          <t xml:space="preserve">Filter Inductance:
</t>
        </r>
        <r>
          <rPr>
            <sz val="9"/>
            <color rgb="FF000000"/>
            <rFont val="Tahoma"/>
            <family val="2"/>
          </rPr>
          <t xml:space="preserve">Enter the filter inductance here.
</t>
        </r>
        <r>
          <rPr>
            <sz val="9"/>
            <color rgb="FF000000"/>
            <rFont val="Tahoma"/>
            <family val="2"/>
          </rPr>
          <t xml:space="preserve">
</t>
        </r>
        <r>
          <rPr>
            <b/>
            <sz val="9"/>
            <color rgb="FFFF0000"/>
            <rFont val="Tahoma"/>
            <family val="2"/>
          </rPr>
          <t xml:space="preserve">The text in the cell is flagged red if:
</t>
        </r>
        <r>
          <rPr>
            <sz val="9"/>
            <color rgb="FF000000"/>
            <rFont val="Tahoma"/>
            <family val="2"/>
          </rPr>
          <t xml:space="preserve">The selected inductance will not be supported the above set operation mode at maximum load.
</t>
        </r>
        <r>
          <rPr>
            <sz val="9"/>
            <color rgb="FF000000"/>
            <rFont val="Tahoma"/>
            <family val="2"/>
          </rPr>
          <t xml:space="preserve">(Checked only at the 3 given Supply Voltages (Min/Nom/Max).
</t>
        </r>
      </text>
    </comment>
    <comment ref="G24" authorId="0" shapeId="0" xr:uid="{00000000-0006-0000-0000-00000C000000}">
      <text>
        <r>
          <rPr>
            <b/>
            <sz val="9"/>
            <color indexed="81"/>
            <rFont val="Tahoma"/>
            <family val="2"/>
          </rPr>
          <t xml:space="preserve">Inductor DCR:
</t>
        </r>
        <r>
          <rPr>
            <sz val="9"/>
            <color indexed="81"/>
            <rFont val="Tahoma"/>
            <family val="2"/>
          </rPr>
          <t xml:space="preserve">Enter the inductor DC resistance here. This is typically specified in the inductor datasheet at 25°C copper temperature.
</t>
        </r>
      </text>
    </comment>
    <comment ref="G25" authorId="0" shapeId="0" xr:uid="{00000000-0006-0000-0000-00000D000000}">
      <text>
        <r>
          <rPr>
            <b/>
            <sz val="9"/>
            <color indexed="81"/>
            <rFont val="Tahoma"/>
            <family val="2"/>
          </rPr>
          <t>Peak Inductor Current</t>
        </r>
        <r>
          <rPr>
            <sz val="9"/>
            <color indexed="81"/>
            <rFont val="Tahoma"/>
            <family val="2"/>
          </rPr>
          <t xml:space="preserve">
Maximum peak inductor current during normal operation.  The peak current limit calculations are based on this value</t>
        </r>
      </text>
    </comment>
    <comment ref="G28" authorId="0" shapeId="0" xr:uid="{00000000-0006-0000-0000-00000E000000}">
      <text>
        <r>
          <rPr>
            <b/>
            <sz val="9"/>
            <color indexed="81"/>
            <rFont val="Tahoma"/>
            <family val="2"/>
          </rPr>
          <t>Peak Current Limit Margin</t>
        </r>
        <r>
          <rPr>
            <sz val="9"/>
            <color indexed="81"/>
            <rFont val="Tahoma"/>
            <family val="2"/>
          </rPr>
          <t xml:space="preserve">
Margin above the calculated peak inductor current. Margin must be given to allow for load transients and component tolerances.
Value should be higher then 15% to avoid false triggers.
The recommended value from the Datasheet is 20%.</t>
        </r>
      </text>
    </comment>
    <comment ref="G29" authorId="0" shapeId="0" xr:uid="{00000000-0006-0000-0000-00000F000000}">
      <text>
        <r>
          <rPr>
            <b/>
            <sz val="9"/>
            <color indexed="81"/>
            <rFont val="Tahoma"/>
            <family val="2"/>
          </rPr>
          <t xml:space="preserve">Selected Peak Inductor Current Limt
</t>
        </r>
        <r>
          <rPr>
            <sz val="9"/>
            <color indexed="81"/>
            <rFont val="Tahoma"/>
            <family val="2"/>
          </rPr>
          <t xml:space="preserve">
Peak inductor current limit based on the margin and the steady state peak inductor current at V</t>
        </r>
        <r>
          <rPr>
            <vertAlign val="subscript"/>
            <sz val="9"/>
            <color indexed="81"/>
            <rFont val="Tahoma"/>
            <family val="2"/>
          </rPr>
          <t>IN_MIN</t>
        </r>
        <r>
          <rPr>
            <sz val="9"/>
            <color indexed="81"/>
            <rFont val="Tahoma"/>
            <family val="2"/>
          </rPr>
          <t xml:space="preserve"> and maximum output current</t>
        </r>
      </text>
    </comment>
    <comment ref="G30" authorId="0" shapeId="0" xr:uid="{00000000-0006-0000-0000-000010000000}">
      <text>
        <r>
          <rPr>
            <b/>
            <sz val="9"/>
            <color rgb="FF000000"/>
            <rFont val="Tahoma"/>
            <family val="2"/>
          </rPr>
          <t>Current Sense Resistor Calculation</t>
        </r>
        <r>
          <rPr>
            <sz val="9"/>
            <color rgb="FF000000"/>
            <rFont val="Tahoma"/>
            <family val="2"/>
          </rPr>
          <t xml:space="preserve">
</t>
        </r>
        <r>
          <rPr>
            <sz val="9"/>
            <color rgb="FF000000"/>
            <rFont val="Tahoma"/>
            <family val="2"/>
          </rPr>
          <t xml:space="preserve">
</t>
        </r>
        <r>
          <rPr>
            <sz val="9"/>
            <color rgb="FF000000"/>
            <rFont val="Tahoma"/>
            <family val="2"/>
          </rPr>
          <t xml:space="preserve">Calculated current sense resistor based on the desired maximum peak current limit. 
</t>
        </r>
        <r>
          <rPr>
            <sz val="9"/>
            <color rgb="FF000000"/>
            <rFont val="Tahoma"/>
            <family val="2"/>
          </rPr>
          <t xml:space="preserve">
</t>
        </r>
      </text>
    </comment>
    <comment ref="G31" authorId="0" shapeId="0" xr:uid="{00000000-0006-0000-0000-000011000000}">
      <text>
        <r>
          <rPr>
            <b/>
            <sz val="9"/>
            <color rgb="FF000000"/>
            <rFont val="Tahoma"/>
            <family val="2"/>
          </rPr>
          <t>Calculated External Slope Compensation Resistor</t>
        </r>
        <r>
          <rPr>
            <sz val="9"/>
            <color rgb="FF000000"/>
            <rFont val="Tahoma"/>
            <family val="2"/>
          </rPr>
          <t xml:space="preserve">
</t>
        </r>
        <r>
          <rPr>
            <sz val="9"/>
            <color rgb="FF000000"/>
            <rFont val="Tahoma"/>
            <family val="2"/>
          </rPr>
          <t xml:space="preserve">
</t>
        </r>
        <r>
          <rPr>
            <sz val="9"/>
            <color rgb="FF000000"/>
            <rFont val="Tahoma"/>
            <family val="2"/>
          </rPr>
          <t xml:space="preserve">Calculated external slope compensation resistor based on the desired maximum peak current limit. 
</t>
        </r>
      </text>
    </comment>
    <comment ref="G35" authorId="0" shapeId="0" xr:uid="{00000000-0006-0000-0000-000013000000}">
      <text>
        <r>
          <rPr>
            <b/>
            <sz val="9"/>
            <color rgb="FF000000"/>
            <rFont val="Tahoma"/>
            <family val="2"/>
          </rPr>
          <t xml:space="preserve">The saturation current of the inductor must be higher than the peak inductor current limint. 
</t>
        </r>
        <r>
          <rPr>
            <b/>
            <sz val="9"/>
            <color rgb="FF000000"/>
            <rFont val="Tahoma"/>
            <family val="2"/>
          </rPr>
          <t>Recommended Margin is ~15%</t>
        </r>
      </text>
    </comment>
    <comment ref="G38" authorId="1" shapeId="0" xr:uid="{34A1C02D-A92A-4231-935A-D27CE25D0CCD}">
      <text>
        <r>
          <rPr>
            <b/>
            <sz val="9"/>
            <color indexed="81"/>
            <rFont val="Tahoma"/>
            <family val="2"/>
          </rPr>
          <t xml:space="preserve">Peak to Peak Voltage Ripple
</t>
        </r>
        <r>
          <rPr>
            <sz val="9"/>
            <color indexed="81"/>
            <rFont val="Tahoma"/>
            <family val="2"/>
          </rPr>
          <t>Desired output voltage transient for 50% load to 100% load step.</t>
        </r>
      </text>
    </comment>
    <comment ref="G45" authorId="1" shapeId="0" xr:uid="{27BE2E58-6B05-4EB2-ACEC-FABDB0D92520}">
      <text>
        <r>
          <rPr>
            <b/>
            <sz val="9"/>
            <color rgb="FF000000"/>
            <rFont val="Tahoma"/>
            <family val="2"/>
          </rPr>
          <t xml:space="preserve">Suggested min. Softstart Capacitor
</t>
        </r>
        <r>
          <rPr>
            <sz val="9"/>
            <color rgb="FF000000"/>
            <rFont val="Tahoma"/>
            <family val="2"/>
          </rPr>
          <t xml:space="preserve">
</t>
        </r>
        <r>
          <rPr>
            <sz val="9"/>
            <color rgb="FF000000"/>
            <rFont val="Tahoma"/>
            <family val="2"/>
          </rPr>
          <t xml:space="preserve">The suggested min. Softstart Capacitor is set to avoid overshoot of the output voltage.
</t>
        </r>
        <r>
          <rPr>
            <sz val="9"/>
            <color rgb="FF000000"/>
            <rFont val="Tahoma"/>
            <family val="2"/>
          </rPr>
          <t xml:space="preserve">It is based on the Load Current and Output Capacitor.
</t>
        </r>
      </text>
    </comment>
    <comment ref="G57" authorId="0" shapeId="0" xr:uid="{00000000-0006-0000-0000-000014000000}">
      <text>
        <r>
          <rPr>
            <b/>
            <sz val="9"/>
            <color indexed="81"/>
            <rFont val="Tahoma"/>
            <family val="2"/>
          </rPr>
          <t xml:space="preserve">Changes the input voltage value. Allow for evaluation of the control loop and efficiency at different input voltages.
</t>
        </r>
        <r>
          <rPr>
            <b/>
            <sz val="9"/>
            <color indexed="10"/>
            <rFont val="Tahoma"/>
            <family val="2"/>
          </rPr>
          <t>The text in the cell is flagged red if:
-The variable input voltage is less than the minimum input voltage
-The variable input voltage is greater than the maximum input voltage</t>
        </r>
      </text>
    </comment>
    <comment ref="G62" authorId="1" shapeId="0" xr:uid="{CAA0D2B2-1619-4A36-A8E5-8EF89AE0C27B}">
      <text>
        <r>
          <rPr>
            <b/>
            <sz val="9"/>
            <color rgb="FF000000"/>
            <rFont val="Tahoma"/>
            <family val="2"/>
          </rPr>
          <t>Select Bottomresistor R</t>
        </r>
        <r>
          <rPr>
            <b/>
            <sz val="8"/>
            <color rgb="FF000000"/>
            <rFont val="Tahoma"/>
            <family val="2"/>
          </rPr>
          <t>FBB</t>
        </r>
        <r>
          <rPr>
            <b/>
            <sz val="9"/>
            <color rgb="FF000000"/>
            <rFont val="Tahoma"/>
            <family val="2"/>
          </rPr>
          <t xml:space="preserve">
</t>
        </r>
        <r>
          <rPr>
            <sz val="9"/>
            <color rgb="FF000000"/>
            <rFont val="Tahoma"/>
            <family val="2"/>
          </rPr>
          <t xml:space="preserve">
</t>
        </r>
        <r>
          <rPr>
            <sz val="9"/>
            <color rgb="FF000000"/>
            <rFont val="Tahoma"/>
            <family val="2"/>
          </rPr>
          <t>Select the closes value to the calculated bottom feedback resistor based on the used standard resistor series (e.g. E48).</t>
        </r>
      </text>
    </comment>
    <comment ref="F69" authorId="1" shapeId="0" xr:uid="{CA3EAB78-A137-4F5E-A063-15FB6763AD4F}">
      <text>
        <r>
          <rPr>
            <b/>
            <sz val="9"/>
            <color rgb="FF000000"/>
            <rFont val="Tahoma"/>
            <family val="2"/>
          </rPr>
          <t xml:space="preserve">Calculated Loop Comenstation Values:
</t>
        </r>
        <r>
          <rPr>
            <b/>
            <sz val="9"/>
            <color rgb="FF000000"/>
            <rFont val="Tahoma"/>
            <family val="2"/>
          </rPr>
          <t xml:space="preserve">
</t>
        </r>
        <r>
          <rPr>
            <sz val="9"/>
            <color rgb="FF000000"/>
            <rFont val="Tahoma"/>
            <family val="2"/>
          </rPr>
          <t xml:space="preserve">The calculation of this loop compensation values are based on the selected bandwidth (Fco) and the minimum input Voltage Vin.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K21" authorId="0" shapeId="0" xr:uid="{00000000-0006-0000-0100-000001000000}">
      <text>
        <r>
          <rPr>
            <b/>
            <sz val="9"/>
            <color indexed="81"/>
            <rFont val="Tahoma"/>
            <family val="2"/>
          </rPr>
          <t>Forced off time limit? 
[2 True, 1 False]</t>
        </r>
        <r>
          <rPr>
            <sz val="9"/>
            <color indexed="81"/>
            <rFont val="Tahoma"/>
            <family val="2"/>
          </rPr>
          <t xml:space="preserve">
</t>
        </r>
      </text>
    </comment>
    <comment ref="K141" authorId="0" shapeId="0" xr:uid="{00000000-0006-0000-0100-000002000000}">
      <text>
        <r>
          <rPr>
            <b/>
            <sz val="9"/>
            <color indexed="81"/>
            <rFont val="Tahoma"/>
            <family val="2"/>
          </rPr>
          <t xml:space="preserve">Slope Compensation flag. If this flag is tripped there is not enough slope compensation. Double check the calculated values
</t>
        </r>
        <r>
          <rPr>
            <sz val="9"/>
            <color indexed="81"/>
            <rFont val="Tahoma"/>
            <family val="2"/>
          </rPr>
          <t xml:space="preserve">
</t>
        </r>
      </text>
    </comment>
    <comment ref="K142" authorId="0" shapeId="0" xr:uid="{00000000-0006-0000-0100-000003000000}">
      <text>
        <r>
          <rPr>
            <sz val="9"/>
            <color indexed="81"/>
            <rFont val="Tahoma"/>
            <family val="2"/>
          </rPr>
          <t xml:space="preserve">Tripped if the current sense resistor results in a lower current limit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V6" authorId="0" shapeId="0" xr:uid="{00000000-0006-0000-0200-000001000000}">
      <text>
        <r>
          <rPr>
            <b/>
            <sz val="9"/>
            <color indexed="81"/>
            <rFont val="Tahoma"/>
            <family val="2"/>
          </rPr>
          <t xml:space="preserve">1 = DCM operation
2 = CCM operation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O18" authorId="0" shapeId="0" xr:uid="{00000000-0006-0000-0300-000001000000}">
      <text>
        <r>
          <rPr>
            <b/>
            <sz val="9"/>
            <color indexed="81"/>
            <rFont val="Tahoma"/>
            <family val="2"/>
          </rPr>
          <t>BMC-BCS:</t>
        </r>
        <r>
          <rPr>
            <sz val="9"/>
            <color indexed="81"/>
            <rFont val="Tahoma"/>
            <family val="2"/>
          </rPr>
          <t xml:space="preserve">
Need to make this log not linear at some point
</t>
        </r>
      </text>
    </comment>
  </commentList>
</comments>
</file>

<file path=xl/sharedStrings.xml><?xml version="1.0" encoding="utf-8"?>
<sst xmlns="http://schemas.openxmlformats.org/spreadsheetml/2006/main" count="986" uniqueCount="582">
  <si>
    <t>TERMS OF USE</t>
  </si>
  <si>
    <t>ABOUT</t>
  </si>
  <si>
    <t>=Input Box</t>
  </si>
  <si>
    <t>Step 1: Design Specifications</t>
  </si>
  <si>
    <r>
      <t>Minimum Input Supply Voltage , V</t>
    </r>
    <r>
      <rPr>
        <vertAlign val="subscript"/>
        <sz val="10"/>
        <color theme="1"/>
        <rFont val="Calibri"/>
        <family val="2"/>
        <scheme val="minor"/>
      </rPr>
      <t>SUPPLY(min)</t>
    </r>
    <r>
      <rPr>
        <sz val="10"/>
        <color theme="1"/>
        <rFont val="Calibri"/>
        <family val="2"/>
        <scheme val="minor"/>
      </rPr>
      <t xml:space="preserve"> </t>
    </r>
  </si>
  <si>
    <r>
      <t>Typical Input Supply Voltage, V</t>
    </r>
    <r>
      <rPr>
        <vertAlign val="subscript"/>
        <sz val="10"/>
        <color theme="1"/>
        <rFont val="Calibri"/>
        <family val="2"/>
        <scheme val="minor"/>
      </rPr>
      <t>SUPPLY(typ)</t>
    </r>
    <r>
      <rPr>
        <sz val="10"/>
        <color theme="1"/>
        <rFont val="Calibri"/>
        <family val="2"/>
        <scheme val="minor"/>
      </rPr>
      <t xml:space="preserve"> </t>
    </r>
  </si>
  <si>
    <r>
      <t>Maximum Input Supply Voltage , V</t>
    </r>
    <r>
      <rPr>
        <vertAlign val="subscript"/>
        <sz val="10"/>
        <color theme="1"/>
        <rFont val="Calibri"/>
        <family val="2"/>
        <scheme val="minor"/>
      </rPr>
      <t>SUPPLY(max)</t>
    </r>
    <r>
      <rPr>
        <sz val="10"/>
        <color theme="1"/>
        <rFont val="Calibri"/>
        <family val="2"/>
        <scheme val="minor"/>
      </rPr>
      <t xml:space="preserve"> </t>
    </r>
  </si>
  <si>
    <r>
      <t>Maximum Output Current , I</t>
    </r>
    <r>
      <rPr>
        <vertAlign val="subscript"/>
        <sz val="10"/>
        <color theme="1"/>
        <rFont val="Calibri"/>
        <family val="2"/>
        <scheme val="minor"/>
      </rPr>
      <t>LOAD</t>
    </r>
    <r>
      <rPr>
        <sz val="10"/>
        <color theme="1"/>
        <rFont val="Calibri"/>
        <family val="2"/>
        <scheme val="minor"/>
      </rPr>
      <t xml:space="preserve"> </t>
    </r>
  </si>
  <si>
    <r>
      <t>Free Running Switching Frequency, F</t>
    </r>
    <r>
      <rPr>
        <vertAlign val="subscript"/>
        <sz val="10"/>
        <color theme="1"/>
        <rFont val="Calibri"/>
        <family val="2"/>
        <scheme val="minor"/>
      </rPr>
      <t>SW</t>
    </r>
  </si>
  <si>
    <t>Estimated Efficiency</t>
  </si>
  <si>
    <t>V</t>
  </si>
  <si>
    <t>A</t>
  </si>
  <si>
    <t>kHz</t>
  </si>
  <si>
    <t>%</t>
  </si>
  <si>
    <r>
      <t>Output Power, P</t>
    </r>
    <r>
      <rPr>
        <vertAlign val="subscript"/>
        <sz val="10"/>
        <color theme="1"/>
        <rFont val="Calibri"/>
        <family val="2"/>
        <scheme val="minor"/>
      </rPr>
      <t>OUT</t>
    </r>
    <r>
      <rPr>
        <sz val="10"/>
        <color theme="1"/>
        <rFont val="Calibri"/>
        <family val="2"/>
        <scheme val="minor"/>
      </rPr>
      <t xml:space="preserve"> </t>
    </r>
  </si>
  <si>
    <t>EXCEL Variables Names/Calculations</t>
  </si>
  <si>
    <t>Input from user =</t>
  </si>
  <si>
    <t>Output =</t>
  </si>
  <si>
    <t>Constant</t>
  </si>
  <si>
    <t>Variable Name</t>
  </si>
  <si>
    <t>Value</t>
  </si>
  <si>
    <t>STD Units</t>
  </si>
  <si>
    <t>Notes</t>
  </si>
  <si>
    <t>Iteration</t>
  </si>
  <si>
    <t>Step 1: Operational Specs</t>
  </si>
  <si>
    <t>VIN_min</t>
  </si>
  <si>
    <t>VIN_nom</t>
  </si>
  <si>
    <t>VIN_max</t>
  </si>
  <si>
    <t>Minimum input voltage</t>
  </si>
  <si>
    <t>Nominal input voltage</t>
  </si>
  <si>
    <t>Maximum input voltage</t>
  </si>
  <si>
    <t>VOUT</t>
  </si>
  <si>
    <t>Target Output Voltage</t>
  </si>
  <si>
    <t>IOUT</t>
  </si>
  <si>
    <t>Maximum Output current</t>
  </si>
  <si>
    <t>ROUT</t>
  </si>
  <si>
    <t>Ω</t>
  </si>
  <si>
    <t>POUT</t>
  </si>
  <si>
    <t>W</t>
  </si>
  <si>
    <t>EFF_est</t>
  </si>
  <si>
    <t>Estimated efficiency</t>
  </si>
  <si>
    <t>Total output power</t>
  </si>
  <si>
    <t>Minimum load resistance</t>
  </si>
  <si>
    <t>Dc_max_ideal</t>
  </si>
  <si>
    <t>Maximum duty cycle at the minimum input voltage</t>
  </si>
  <si>
    <t>Dc_max_IC</t>
  </si>
  <si>
    <t>Maximum IC duty cycle. Based on the forced off time. See Mathcad Calculations</t>
  </si>
  <si>
    <t>D_2p2_min</t>
  </si>
  <si>
    <t>D_2p2_nom</t>
  </si>
  <si>
    <t>D_2p2_max</t>
  </si>
  <si>
    <t>Minimum max duty cycle at 2p2MHZ operation</t>
  </si>
  <si>
    <t>t_off_max</t>
  </si>
  <si>
    <t>T_off_nom</t>
  </si>
  <si>
    <t>T_off_min</t>
  </si>
  <si>
    <t>s</t>
  </si>
  <si>
    <t>Minimum forced off time</t>
  </si>
  <si>
    <t>nominal forced off time</t>
  </si>
  <si>
    <t>Maximum forced off time</t>
  </si>
  <si>
    <t xml:space="preserve">IC Duty Cycle Limitation: </t>
  </si>
  <si>
    <t>D_limit_min</t>
  </si>
  <si>
    <t>D_limit_nom</t>
  </si>
  <si>
    <t>D_limit_max</t>
  </si>
  <si>
    <t>Nomminal max duty cycle at low frequency</t>
  </si>
  <si>
    <t xml:space="preserve">Base Calculations of </t>
  </si>
  <si>
    <t>Spec conditions</t>
  </si>
  <si>
    <t>Min max duty cycle at low frequency</t>
  </si>
  <si>
    <t>Maximum max duty cycle at low frequency</t>
  </si>
  <si>
    <t>Nominal right now</t>
  </si>
  <si>
    <t>Fsw</t>
  </si>
  <si>
    <t>Hz</t>
  </si>
  <si>
    <t xml:space="preserve">Switching frequnecy </t>
  </si>
  <si>
    <t>Flag</t>
  </si>
  <si>
    <t>Forced off time limit? [2 True, 1 False]</t>
  </si>
  <si>
    <t>RT</t>
  </si>
  <si>
    <t>Oscillator Set resistor. Based on the datasheet equation</t>
  </si>
  <si>
    <r>
      <t>Free running Oscillator Set Resistor, R</t>
    </r>
    <r>
      <rPr>
        <vertAlign val="subscript"/>
        <sz val="10"/>
        <color theme="1"/>
        <rFont val="Calibri"/>
        <family val="2"/>
        <scheme val="minor"/>
      </rPr>
      <t>T</t>
    </r>
  </si>
  <si>
    <r>
      <t>k</t>
    </r>
    <r>
      <rPr>
        <sz val="11"/>
        <color theme="1"/>
        <rFont val="Calibri"/>
        <family val="2"/>
      </rPr>
      <t>Ω</t>
    </r>
  </si>
  <si>
    <t>Step 2: Filter Inductor</t>
  </si>
  <si>
    <t>Dc_Limit</t>
  </si>
  <si>
    <t>Max duty cycle of LM5155 at Fsw</t>
  </si>
  <si>
    <t>EXCEL Constants / Values / IC Limits</t>
  </si>
  <si>
    <r>
      <t>Max Inductor DCR, R</t>
    </r>
    <r>
      <rPr>
        <vertAlign val="subscript"/>
        <sz val="10"/>
        <color theme="1"/>
        <rFont val="Calibri"/>
        <family val="2"/>
        <scheme val="minor"/>
      </rPr>
      <t>DCR</t>
    </r>
  </si>
  <si>
    <t>Dc_VIN_min</t>
  </si>
  <si>
    <t>Dc_VIN_nom</t>
  </si>
  <si>
    <t>Dc_VIN_max</t>
  </si>
  <si>
    <t>Duty cycle at the mimum input voltage (CCM)</t>
  </si>
  <si>
    <t>Duty cycle at the nominal input voltage (CCM)</t>
  </si>
  <si>
    <t>Duty cycle at the maximum input voltage (CCM)</t>
  </si>
  <si>
    <t>ton_min</t>
  </si>
  <si>
    <t>Typical Ton minimum value</t>
  </si>
  <si>
    <t>Lcalc_VIN_min</t>
  </si>
  <si>
    <t>Inductor at Minimum input voltage</t>
  </si>
  <si>
    <t>IL_avg_VIN_min</t>
  </si>
  <si>
    <t>IL_avg_VIN_nom</t>
  </si>
  <si>
    <t>IL_avg_VIN_max</t>
  </si>
  <si>
    <t>Average input current at minimum input voltage. 100% Eff assumed</t>
  </si>
  <si>
    <t>Average input current at nominal input voltage. 100% Eff assumed</t>
  </si>
  <si>
    <t>Average input current at maximum input voltage. 100% Eff assumed</t>
  </si>
  <si>
    <t>H</t>
  </si>
  <si>
    <t>ILrip</t>
  </si>
  <si>
    <t>Lopt</t>
  </si>
  <si>
    <t>Optimal inductor. Based off the average</t>
  </si>
  <si>
    <t>Lm</t>
  </si>
  <si>
    <t>Selected filter inductor</t>
  </si>
  <si>
    <t>Rdcr</t>
  </si>
  <si>
    <r>
      <t>m</t>
    </r>
    <r>
      <rPr>
        <sz val="11"/>
        <color theme="1"/>
        <rFont val="Calibri"/>
        <family val="2"/>
      </rPr>
      <t>Ω</t>
    </r>
  </si>
  <si>
    <r>
      <t>Peak inductor current, IL</t>
    </r>
    <r>
      <rPr>
        <vertAlign val="subscript"/>
        <sz val="10"/>
        <color theme="1"/>
        <rFont val="Calibri"/>
        <family val="2"/>
        <scheme val="minor"/>
      </rPr>
      <t>PK</t>
    </r>
  </si>
  <si>
    <t>Strategy 1</t>
  </si>
  <si>
    <t>Strategy 2</t>
  </si>
  <si>
    <t>VIN_33</t>
  </si>
  <si>
    <t>IIN_33</t>
  </si>
  <si>
    <t>Lopt_2</t>
  </si>
  <si>
    <t>.</t>
  </si>
  <si>
    <t>ILp_VINmin</t>
  </si>
  <si>
    <t>Peak inductor current at VIN min. Including estimated efficiency</t>
  </si>
  <si>
    <t>ILrip_VINmin</t>
  </si>
  <si>
    <t xml:space="preserve">Inductor ripple current at VIN min. </t>
  </si>
  <si>
    <t>ILrip_VINnom</t>
  </si>
  <si>
    <t>ILp_VINnom</t>
  </si>
  <si>
    <t>ILrip_VINmax</t>
  </si>
  <si>
    <t>ILp_VINmax</t>
  </si>
  <si>
    <t>Step 3: Current Sense Resistor</t>
  </si>
  <si>
    <t>Selected indutor ripple ratio. Will be changed later to a standard value just to keep things simple</t>
  </si>
  <si>
    <t xml:space="preserve">Inductor ripple current at VIN nom. </t>
  </si>
  <si>
    <t>Peak inductor current at VIN nom. Including estimated efficiency</t>
  </si>
  <si>
    <t xml:space="preserve">Inductor ripple current at VIN max. </t>
  </si>
  <si>
    <t>Peak inductor current at VIN max. Including estimated efficiency</t>
  </si>
  <si>
    <t>Step 3: Current Sense Resistor Selection</t>
  </si>
  <si>
    <t>Ipk_margin</t>
  </si>
  <si>
    <t>Peak current limit margin. 20% is a typical value</t>
  </si>
  <si>
    <t>Ipk_selected</t>
  </si>
  <si>
    <t>Selected peak current limit based on margin selection</t>
  </si>
  <si>
    <t>Peak ripple ratio: Boost this happens at 33%</t>
  </si>
  <si>
    <t>Dc_rip_max</t>
  </si>
  <si>
    <t>This value used to make the selection</t>
  </si>
  <si>
    <t>Input current at maximum ripple duty cycle</t>
  </si>
  <si>
    <t>Input voltage at maximum ripple duty cycle. If maximum input voltage Dc is &gt;.33 this value will be used</t>
  </si>
  <si>
    <t>Filter inductor DCR</t>
  </si>
  <si>
    <t>Ltol</t>
  </si>
  <si>
    <t>Assumed inductor tolerance. Constant to help simplify the user experience</t>
  </si>
  <si>
    <t>Rcs_max</t>
  </si>
  <si>
    <t>Maximum Rcs based on internal slope compensation. Assuming slope ratio of 1/2</t>
  </si>
  <si>
    <t>Rcs_sl_ratio</t>
  </si>
  <si>
    <t>ratio of down slope to slope compensation. This can be updated to give more margin</t>
  </si>
  <si>
    <t>Isl</t>
  </si>
  <si>
    <t>Internal slope compensation ramp</t>
  </si>
  <si>
    <t>Rsl_int</t>
  </si>
  <si>
    <t>Internal Slope compensation resistor</t>
  </si>
  <si>
    <t>Rcs_wo_sl</t>
  </si>
  <si>
    <t>Current sense resistor without slope compensation</t>
  </si>
  <si>
    <t>Vcl</t>
  </si>
  <si>
    <t>Current Limit Value. See datsheet for Parameters</t>
  </si>
  <si>
    <t>Flag_ext_sl</t>
  </si>
  <si>
    <t>External Compensation? (0-no, 1-yes)</t>
  </si>
  <si>
    <t>Rcs_w_sl</t>
  </si>
  <si>
    <t>Rcs_ext_sl_ratio</t>
  </si>
  <si>
    <t>External Slope compensation ratio. Constant</t>
  </si>
  <si>
    <t>R_sl_ext</t>
  </si>
  <si>
    <t>R_cs_calc</t>
  </si>
  <si>
    <t>R_sl_calc</t>
  </si>
  <si>
    <t>R_cs</t>
  </si>
  <si>
    <t>R_sl</t>
  </si>
  <si>
    <t>Current Sense Resistor calculated</t>
  </si>
  <si>
    <t>External slope compensation resistor</t>
  </si>
  <si>
    <t>Calculated external slope compensation resistor</t>
  </si>
  <si>
    <t>Calculated current sense resistor with slope compensation included</t>
  </si>
  <si>
    <r>
      <t>Recommended external slope compensation Resistor (R</t>
    </r>
    <r>
      <rPr>
        <vertAlign val="subscript"/>
        <sz val="11"/>
        <color theme="1"/>
        <rFont val="Calibri"/>
        <family val="2"/>
        <scheme val="minor"/>
      </rPr>
      <t>SL</t>
    </r>
    <r>
      <rPr>
        <sz val="11"/>
        <color theme="1"/>
        <rFont val="Calibri"/>
        <family val="2"/>
        <scheme val="minor"/>
      </rPr>
      <t>)</t>
    </r>
  </si>
  <si>
    <t>Selected current sense Resistor</t>
  </si>
  <si>
    <t>Selected external slope compensation</t>
  </si>
  <si>
    <r>
      <t>Selected external slope compensation Resistor (R</t>
    </r>
    <r>
      <rPr>
        <vertAlign val="subscript"/>
        <sz val="11"/>
        <color theme="1"/>
        <rFont val="Calibri"/>
        <family val="2"/>
        <scheme val="minor"/>
      </rPr>
      <t>SL</t>
    </r>
    <r>
      <rPr>
        <sz val="11"/>
        <color theme="1"/>
        <rFont val="Calibri"/>
        <family val="2"/>
        <scheme val="minor"/>
      </rPr>
      <t>)</t>
    </r>
  </si>
  <si>
    <t>Check to make sure that slope compensation is high enough at the minimum input voltage</t>
  </si>
  <si>
    <t>Slope Compensation</t>
  </si>
  <si>
    <t>sl_vin_min</t>
  </si>
  <si>
    <t>Actual inductor peak current limit</t>
  </si>
  <si>
    <t>IL_pk</t>
  </si>
  <si>
    <t>IL_pk_max</t>
  </si>
  <si>
    <t>Peak current limit at the minimum input voltage</t>
  </si>
  <si>
    <t>Peak inductor current limit for saturation rating.  VIN max due to the possibility of external slope comp</t>
  </si>
  <si>
    <t>sat_mar</t>
  </si>
  <si>
    <t>Margin for saturation current of the inductor</t>
  </si>
  <si>
    <t>V/V</t>
  </si>
  <si>
    <t>IL_sat</t>
  </si>
  <si>
    <t>Recommended Saturation current rating of the selected inductor</t>
  </si>
  <si>
    <t>COMP voltage Limit checks</t>
  </si>
  <si>
    <t>Will add this later. Can be left off for APL</t>
  </si>
  <si>
    <t>Step 4: Output Capacitor Selection</t>
  </si>
  <si>
    <t>mV</t>
  </si>
  <si>
    <t xml:space="preserve">Minimum output capacitance </t>
  </si>
  <si>
    <r>
      <t>Selected Output Capacitance (C</t>
    </r>
    <r>
      <rPr>
        <vertAlign val="subscript"/>
        <sz val="11"/>
        <color theme="1"/>
        <rFont val="Calibri"/>
        <family val="2"/>
        <scheme val="minor"/>
      </rPr>
      <t>OUT</t>
    </r>
    <r>
      <rPr>
        <sz val="11"/>
        <color theme="1"/>
        <rFont val="Calibri"/>
        <family val="2"/>
        <scheme val="minor"/>
      </rPr>
      <t>)</t>
    </r>
  </si>
  <si>
    <t>Desired output ripple</t>
  </si>
  <si>
    <t>Vout_rip_sel</t>
  </si>
  <si>
    <t>Recommend Minimum Inductor Saturation Current Rating</t>
  </si>
  <si>
    <t>Cout_min</t>
  </si>
  <si>
    <t>F</t>
  </si>
  <si>
    <t>Calculate minimum capacitance based simply on the capacitive ripple</t>
  </si>
  <si>
    <r>
      <t>Capacitor RMS current (I</t>
    </r>
    <r>
      <rPr>
        <vertAlign val="subscript"/>
        <sz val="11"/>
        <color theme="1"/>
        <rFont val="Calibri"/>
        <family val="2"/>
        <scheme val="minor"/>
      </rPr>
      <t>RMS_COUT</t>
    </r>
    <r>
      <rPr>
        <sz val="11"/>
        <color theme="1"/>
        <rFont val="Calibri"/>
        <family val="2"/>
        <scheme val="minor"/>
      </rPr>
      <t>)</t>
    </r>
  </si>
  <si>
    <t>IRMS_COUT</t>
  </si>
  <si>
    <t>RMS current of the output capacitor at VIN min IOUT max. RMS current rating should be larger than this.</t>
  </si>
  <si>
    <r>
      <t>Equivalent  COUT ESR (R</t>
    </r>
    <r>
      <rPr>
        <vertAlign val="subscript"/>
        <sz val="11"/>
        <color theme="1"/>
        <rFont val="Calibri"/>
        <family val="2"/>
        <scheme val="minor"/>
      </rPr>
      <t>ESR</t>
    </r>
    <r>
      <rPr>
        <sz val="11"/>
        <color theme="1"/>
        <rFont val="Calibri"/>
        <family val="2"/>
        <scheme val="minor"/>
      </rPr>
      <t>)</t>
    </r>
  </si>
  <si>
    <t>Resr</t>
  </si>
  <si>
    <t>Selected Output Capacitance</t>
  </si>
  <si>
    <t>Selected output capacitance ESR</t>
  </si>
  <si>
    <t>Cout</t>
  </si>
  <si>
    <r>
      <t>Selected Peak Current limit(IL</t>
    </r>
    <r>
      <rPr>
        <vertAlign val="subscript"/>
        <sz val="11"/>
        <color theme="1"/>
        <rFont val="Calibri"/>
        <family val="2"/>
        <scheme val="minor"/>
      </rPr>
      <t>PK_select</t>
    </r>
    <r>
      <rPr>
        <sz val="11"/>
        <color theme="1"/>
        <rFont val="Calibri"/>
        <family val="2"/>
        <scheme val="minor"/>
      </rPr>
      <t>)</t>
    </r>
  </si>
  <si>
    <t>Step 5: Loop Compensation</t>
  </si>
  <si>
    <t>Input Parameters</t>
  </si>
  <si>
    <t>Output Voltage</t>
  </si>
  <si>
    <t>Component Selection</t>
  </si>
  <si>
    <t>LM</t>
  </si>
  <si>
    <t>filter Inductor</t>
  </si>
  <si>
    <t>Current sense resi</t>
  </si>
  <si>
    <t>External Slope Compensation Resistor</t>
  </si>
  <si>
    <t>Interanl Slope Compesnation Resistor</t>
  </si>
  <si>
    <t>Interanl Slope Compesnation current</t>
  </si>
  <si>
    <t>RCOMP</t>
  </si>
  <si>
    <t>kΩ</t>
  </si>
  <si>
    <t>Feedback Resistor Selection</t>
  </si>
  <si>
    <t>pF</t>
  </si>
  <si>
    <t>nF</t>
  </si>
  <si>
    <t>CCOMP</t>
  </si>
  <si>
    <t>CHF</t>
  </si>
  <si>
    <t>Type II compensation Resistort</t>
  </si>
  <si>
    <t>Type II compensation Capacitor</t>
  </si>
  <si>
    <t>Type II high frequency capacitor</t>
  </si>
  <si>
    <t>RFBT</t>
  </si>
  <si>
    <t>RFBB</t>
  </si>
  <si>
    <t>Compensation Components</t>
  </si>
  <si>
    <t>Top feedback resistor</t>
  </si>
  <si>
    <t>Bottom feedback resistor</t>
  </si>
  <si>
    <t>Calculations</t>
  </si>
  <si>
    <t>Frequency</t>
  </si>
  <si>
    <t>Selected VIN</t>
  </si>
  <si>
    <t>VIN_var</t>
  </si>
  <si>
    <t>VIN_VAR</t>
  </si>
  <si>
    <t>Variable input voltage</t>
  </si>
  <si>
    <t>ADC</t>
  </si>
  <si>
    <t>Gcomp</t>
  </si>
  <si>
    <t>Scale down factor of the interal comp voltage divider</t>
  </si>
  <si>
    <t>Intenal step down of the divider</t>
  </si>
  <si>
    <t>DC gain of the plant function</t>
  </si>
  <si>
    <t>Acs</t>
  </si>
  <si>
    <t>Current sense Amplifier Gain (1 for this device)</t>
  </si>
  <si>
    <t>Low Frequency Pole</t>
  </si>
  <si>
    <t>RHPz zero of boost converter</t>
  </si>
  <si>
    <t>ESR zero cause by output capacitance</t>
  </si>
  <si>
    <t>wsl</t>
  </si>
  <si>
    <t>Q</t>
  </si>
  <si>
    <t>Se</t>
  </si>
  <si>
    <t xml:space="preserve">Slope compensation </t>
  </si>
  <si>
    <t>Down slope at the selected input voltage</t>
  </si>
  <si>
    <t>Sn</t>
  </si>
  <si>
    <t>Rad</t>
  </si>
  <si>
    <t>wp_lf</t>
  </si>
  <si>
    <t>wz_rhp</t>
  </si>
  <si>
    <t>wz_esr</t>
  </si>
  <si>
    <t>Gain</t>
  </si>
  <si>
    <t>Phase</t>
  </si>
  <si>
    <t>Sampling</t>
  </si>
  <si>
    <t>Complex</t>
  </si>
  <si>
    <t>Total</t>
  </si>
  <si>
    <t>Plant Transfer Function</t>
  </si>
  <si>
    <t>Error Amplifier</t>
  </si>
  <si>
    <t>Plant Parameters</t>
  </si>
  <si>
    <t>wz_ea</t>
  </si>
  <si>
    <t>Adc_ea</t>
  </si>
  <si>
    <t>gm_ea</t>
  </si>
  <si>
    <t>Error Amplifier Gain</t>
  </si>
  <si>
    <t>A/V</t>
  </si>
  <si>
    <t>wp0_ea</t>
  </si>
  <si>
    <t>wp1_ea</t>
  </si>
  <si>
    <t>ADC_ea</t>
  </si>
  <si>
    <t xml:space="preserve">Gain </t>
  </si>
  <si>
    <t>Open Loop Response</t>
  </si>
  <si>
    <t>COMPLEX</t>
  </si>
  <si>
    <t>Gain of open loop at wp_Lf</t>
  </si>
  <si>
    <t>dB</t>
  </si>
  <si>
    <r>
      <t xml:space="preserve">Variable input voltage to model the loop. </t>
    </r>
    <r>
      <rPr>
        <b/>
        <sz val="11"/>
        <color theme="1"/>
        <rFont val="Calibri"/>
        <family val="2"/>
        <scheme val="minor"/>
      </rPr>
      <t>Currently not used. Will be updated in next rev</t>
    </r>
  </si>
  <si>
    <t>Selected by user. Feedback resistor should be &gt;100uA to help reject noise</t>
  </si>
  <si>
    <t>Error Amplifier Zero</t>
  </si>
  <si>
    <t>Error Amplifier pole at the origin</t>
  </si>
  <si>
    <t>Error Amplifier pole at high frequencies</t>
  </si>
  <si>
    <t>RFBB_CALC</t>
  </si>
  <si>
    <t>Vref</t>
  </si>
  <si>
    <t>Reference voltage</t>
  </si>
  <si>
    <t>Estimated bottom feedback resistor</t>
  </si>
  <si>
    <t>Selected botton feedback resistor</t>
  </si>
  <si>
    <t>Ifb</t>
  </si>
  <si>
    <t>Current Drawn from the feedback resistors (Typically higher than 100uA to help w/ noise)</t>
  </si>
  <si>
    <r>
      <t xml:space="preserve">Plant low frequency pole. </t>
    </r>
    <r>
      <rPr>
        <b/>
        <sz val="11"/>
        <color theme="1"/>
        <rFont val="Calibri"/>
        <family val="2"/>
        <scheme val="minor"/>
      </rPr>
      <t>IN Hz!!!</t>
    </r>
  </si>
  <si>
    <r>
      <t xml:space="preserve">Plant RHP Zero, </t>
    </r>
    <r>
      <rPr>
        <b/>
        <sz val="11"/>
        <color theme="1"/>
        <rFont val="Calibri"/>
        <family val="2"/>
        <scheme val="minor"/>
      </rPr>
      <t>(IN Hz)</t>
    </r>
  </si>
  <si>
    <r>
      <t xml:space="preserve">Plant capacitor ESR zero </t>
    </r>
    <r>
      <rPr>
        <b/>
        <sz val="11"/>
        <color theme="1"/>
        <rFont val="Calibri"/>
        <family val="2"/>
        <scheme val="minor"/>
      </rPr>
      <t>(In Hz)</t>
    </r>
  </si>
  <si>
    <t>Feedback resistor selection</t>
  </si>
  <si>
    <t>Crossover Frequency Selection</t>
  </si>
  <si>
    <t>Fcross_est</t>
  </si>
  <si>
    <r>
      <t>Calculated bottom feedback resistor (R</t>
    </r>
    <r>
      <rPr>
        <vertAlign val="subscript"/>
        <sz val="11"/>
        <color theme="1"/>
        <rFont val="Calibri"/>
        <family val="2"/>
        <scheme val="minor"/>
      </rPr>
      <t>FBB_cala</t>
    </r>
    <r>
      <rPr>
        <sz val="11"/>
        <color theme="1"/>
        <rFont val="Calibri"/>
        <family val="2"/>
        <scheme val="minor"/>
      </rPr>
      <t>)</t>
    </r>
  </si>
  <si>
    <t>fcross</t>
  </si>
  <si>
    <t>Desired Crossover frequency</t>
  </si>
  <si>
    <t>1/10 the swictching frequency</t>
  </si>
  <si>
    <t>Conservative. Set Fcross to be 1/5th the RHP zero frequency or 1/10th SW: whichever is lower</t>
  </si>
  <si>
    <t>Select the lower crossover frequency</t>
  </si>
  <si>
    <t>Gplant_fc</t>
  </si>
  <si>
    <t>Gain of the plant at the desired crossover frequency</t>
  </si>
  <si>
    <t>Fcross</t>
  </si>
  <si>
    <t>wz_RHP</t>
  </si>
  <si>
    <t>Gplant_fc_dB</t>
  </si>
  <si>
    <t>Plant gain at crossover frequency (dB)</t>
  </si>
  <si>
    <t>Gea_mid_calc</t>
  </si>
  <si>
    <t>Error Amplifier Mid-band gain to set cross over frequency correctly</t>
  </si>
  <si>
    <t>Rcomp_Calc</t>
  </si>
  <si>
    <t>Calculate on based on the desired Mid-band gain needed to set the crossover frequency</t>
  </si>
  <si>
    <t>fz_ea_est</t>
  </si>
  <si>
    <t>Set the fz_ea 1/10th the cross over frequency (Common approach)</t>
  </si>
  <si>
    <t>Set the fz_ea geometerically inbetween crossover and the wp_lf</t>
  </si>
  <si>
    <t>Fz_ea_1</t>
  </si>
  <si>
    <t>Fz_ea_2</t>
  </si>
  <si>
    <t>CCOMP_calc</t>
  </si>
  <si>
    <t>CHF_Calc</t>
  </si>
  <si>
    <t>fp_ea_est</t>
  </si>
  <si>
    <r>
      <t>Select a top feedback resistor(R</t>
    </r>
    <r>
      <rPr>
        <vertAlign val="subscript"/>
        <sz val="11"/>
        <color theme="1"/>
        <rFont val="Calibri"/>
        <family val="2"/>
        <scheme val="minor"/>
      </rPr>
      <t>FBT</t>
    </r>
    <r>
      <rPr>
        <sz val="11"/>
        <color theme="1"/>
        <rFont val="Calibri"/>
        <family val="2"/>
        <scheme val="minor"/>
      </rPr>
      <t>)</t>
    </r>
  </si>
  <si>
    <t>Step 5: Soft-Start Capacitor Selection</t>
  </si>
  <si>
    <t>Step 6: UVLO Resistor Divider Selection</t>
  </si>
  <si>
    <t>Efficiency / Power Loss Analyzer</t>
  </si>
  <si>
    <r>
      <t>R</t>
    </r>
    <r>
      <rPr>
        <vertAlign val="subscript"/>
        <sz val="11"/>
        <color theme="1"/>
        <rFont val="Calibri"/>
        <family val="2"/>
        <scheme val="minor"/>
      </rPr>
      <t>COMP</t>
    </r>
  </si>
  <si>
    <t>Calculated</t>
  </si>
  <si>
    <t>Selected</t>
  </si>
  <si>
    <t>Steps</t>
  </si>
  <si>
    <t>Step size</t>
  </si>
  <si>
    <t>VIN</t>
  </si>
  <si>
    <t>DCM/CCM</t>
  </si>
  <si>
    <t>DC</t>
  </si>
  <si>
    <t>IIN</t>
  </si>
  <si>
    <t>Icrms_min</t>
  </si>
  <si>
    <t>Minimum required RMS current rating for the output capacitor bank</t>
  </si>
  <si>
    <t>On-time of the switch</t>
  </si>
  <si>
    <t>Soft-Start</t>
  </si>
  <si>
    <t>Iss</t>
  </si>
  <si>
    <t>Soft-start capacitor charge current</t>
  </si>
  <si>
    <t>Soft-Start Charge current</t>
  </si>
  <si>
    <t>Css_min</t>
  </si>
  <si>
    <t>Suggested minimum SS capacitor to minize the over shoot.</t>
  </si>
  <si>
    <t>tss</t>
  </si>
  <si>
    <t>Desired Soft-Start Capacitor</t>
  </si>
  <si>
    <r>
      <t>Suggested minimum soft-start capacitor (C</t>
    </r>
    <r>
      <rPr>
        <vertAlign val="subscript"/>
        <sz val="11"/>
        <color theme="1"/>
        <rFont val="Calibri"/>
        <family val="2"/>
        <scheme val="minor"/>
      </rPr>
      <t>SS_MIN</t>
    </r>
    <r>
      <rPr>
        <sz val="11"/>
        <color theme="1"/>
        <rFont val="Calibri"/>
        <family val="2"/>
        <scheme val="minor"/>
      </rPr>
      <t>)</t>
    </r>
  </si>
  <si>
    <t>ms</t>
  </si>
  <si>
    <t>Css_calc</t>
  </si>
  <si>
    <t>Calcualted Soft-start capacitor</t>
  </si>
  <si>
    <r>
      <t>Calculated soft-start capacitor (C</t>
    </r>
    <r>
      <rPr>
        <vertAlign val="subscript"/>
        <sz val="11"/>
        <color theme="1"/>
        <rFont val="Calibri"/>
        <family val="2"/>
        <scheme val="minor"/>
      </rPr>
      <t>SS</t>
    </r>
    <r>
      <rPr>
        <sz val="11"/>
        <color theme="1"/>
        <rFont val="Calibri"/>
        <family val="2"/>
        <scheme val="minor"/>
      </rPr>
      <t>)</t>
    </r>
  </si>
  <si>
    <r>
      <t>Desired voltage OFF (V</t>
    </r>
    <r>
      <rPr>
        <vertAlign val="subscript"/>
        <sz val="11"/>
        <color theme="1"/>
        <rFont val="Calibri"/>
        <family val="2"/>
        <scheme val="minor"/>
      </rPr>
      <t>UVLO_OFF</t>
    </r>
    <r>
      <rPr>
        <sz val="11"/>
        <color theme="1"/>
        <rFont val="Calibri"/>
        <family val="2"/>
        <scheme val="minor"/>
      </rPr>
      <t>)</t>
    </r>
  </si>
  <si>
    <r>
      <t>Desired voltage On (V</t>
    </r>
    <r>
      <rPr>
        <vertAlign val="subscript"/>
        <sz val="11"/>
        <color theme="1"/>
        <rFont val="Calibri"/>
        <family val="2"/>
        <scheme val="minor"/>
      </rPr>
      <t>UVLO_ON</t>
    </r>
    <r>
      <rPr>
        <sz val="11"/>
        <color theme="1"/>
        <rFont val="Calibri"/>
        <family val="2"/>
        <scheme val="minor"/>
      </rPr>
      <t>)</t>
    </r>
  </si>
  <si>
    <t>Step 6: UVLO Resistor Selection</t>
  </si>
  <si>
    <t>Step 5: Soft-start Capacitor selection</t>
  </si>
  <si>
    <t>Vuvlo_on</t>
  </si>
  <si>
    <t>Vuvlo_off</t>
  </si>
  <si>
    <t>Desired turn on voltage</t>
  </si>
  <si>
    <t>Desired turn off voltage</t>
  </si>
  <si>
    <t>UVLO Thresholds</t>
  </si>
  <si>
    <t>UV_rise</t>
  </si>
  <si>
    <t>UV_fall</t>
  </si>
  <si>
    <t>Falling threshold (See datasheet for more details)</t>
  </si>
  <si>
    <t>Rising Threshold (See datasheet for more details)</t>
  </si>
  <si>
    <t>Rising UV threshold</t>
  </si>
  <si>
    <t>Falling  UV threshold</t>
  </si>
  <si>
    <t>UV_I_hyst</t>
  </si>
  <si>
    <t>UVLO current hysteresis</t>
  </si>
  <si>
    <t>UVLO circuit current hysteresis</t>
  </si>
  <si>
    <t>Ruvlo_top_calc</t>
  </si>
  <si>
    <t>Ruvlo_bottom_calc</t>
  </si>
  <si>
    <t>Vuvlo_on_act</t>
  </si>
  <si>
    <t>Vuvlo_off_act</t>
  </si>
  <si>
    <t>Actual turn on voltage</t>
  </si>
  <si>
    <t>Actual turn off voltage</t>
  </si>
  <si>
    <t>Step  7: Loop Compensation</t>
  </si>
  <si>
    <t>Operation Variables</t>
  </si>
  <si>
    <t>Duty Cycle</t>
  </si>
  <si>
    <t>dIL</t>
  </si>
  <si>
    <r>
      <t>IL</t>
    </r>
    <r>
      <rPr>
        <vertAlign val="subscript"/>
        <sz val="11"/>
        <color theme="1"/>
        <rFont val="Calibri"/>
        <family val="2"/>
        <scheme val="minor"/>
      </rPr>
      <t>RMS</t>
    </r>
  </si>
  <si>
    <r>
      <t>IL</t>
    </r>
    <r>
      <rPr>
        <vertAlign val="subscript"/>
        <sz val="11"/>
        <color theme="1"/>
        <rFont val="Calibri"/>
        <family val="2"/>
        <scheme val="minor"/>
      </rPr>
      <t>PEAK</t>
    </r>
  </si>
  <si>
    <t>DC_off</t>
  </si>
  <si>
    <r>
      <t>ID</t>
    </r>
    <r>
      <rPr>
        <vertAlign val="subscript"/>
        <sz val="11"/>
        <color theme="1"/>
        <rFont val="Calibri"/>
        <family val="2"/>
        <scheme val="minor"/>
      </rPr>
      <t>RMS</t>
    </r>
  </si>
  <si>
    <t>Step 7: Component Selection</t>
  </si>
  <si>
    <t>Vd_rect</t>
  </si>
  <si>
    <t>Rect Diode forward voltage drop</t>
  </si>
  <si>
    <r>
      <t>ID</t>
    </r>
    <r>
      <rPr>
        <vertAlign val="subscript"/>
        <sz val="11"/>
        <color theme="1"/>
        <rFont val="Calibri"/>
        <family val="2"/>
        <scheme val="minor"/>
      </rPr>
      <t xml:space="preserve">AVG </t>
    </r>
    <r>
      <rPr>
        <sz val="11"/>
        <color theme="1"/>
        <rFont val="Calibri"/>
        <family val="2"/>
        <scheme val="minor"/>
      </rPr>
      <t>(A)</t>
    </r>
  </si>
  <si>
    <r>
      <t>P</t>
    </r>
    <r>
      <rPr>
        <vertAlign val="subscript"/>
        <sz val="11"/>
        <color theme="1"/>
        <rFont val="Calibri"/>
        <family val="2"/>
        <scheme val="minor"/>
      </rPr>
      <t>Lac</t>
    </r>
    <r>
      <rPr>
        <sz val="11"/>
        <color theme="1"/>
        <rFont val="Calibri"/>
        <family val="2"/>
        <scheme val="minor"/>
      </rPr>
      <t xml:space="preserve"> (W)</t>
    </r>
  </si>
  <si>
    <r>
      <t>P</t>
    </r>
    <r>
      <rPr>
        <vertAlign val="subscript"/>
        <sz val="11"/>
        <color theme="1"/>
        <rFont val="Calibri"/>
        <family val="2"/>
        <scheme val="minor"/>
      </rPr>
      <t>L_DCR</t>
    </r>
    <r>
      <rPr>
        <sz val="11"/>
        <color theme="1"/>
        <rFont val="Calibri"/>
        <family val="2"/>
        <scheme val="minor"/>
      </rPr>
      <t xml:space="preserve"> (W)</t>
    </r>
  </si>
  <si>
    <r>
      <t>P</t>
    </r>
    <r>
      <rPr>
        <vertAlign val="subscript"/>
        <sz val="11"/>
        <color theme="1"/>
        <rFont val="Calibri"/>
        <family val="2"/>
        <scheme val="minor"/>
      </rPr>
      <t xml:space="preserve">D_COND </t>
    </r>
    <r>
      <rPr>
        <sz val="11"/>
        <color theme="1"/>
        <rFont val="Calibri"/>
        <family val="2"/>
        <scheme val="minor"/>
      </rPr>
      <t>(W)</t>
    </r>
  </si>
  <si>
    <r>
      <t>P</t>
    </r>
    <r>
      <rPr>
        <vertAlign val="subscript"/>
        <sz val="11"/>
        <color theme="1"/>
        <rFont val="Calibri"/>
        <family val="2"/>
        <scheme val="minor"/>
      </rPr>
      <t xml:space="preserve">D_SW </t>
    </r>
    <r>
      <rPr>
        <sz val="11"/>
        <color theme="1"/>
        <rFont val="Calibri"/>
        <family val="2"/>
        <scheme val="minor"/>
      </rPr>
      <t>(W)</t>
    </r>
  </si>
  <si>
    <r>
      <t>On-State Resistance, R</t>
    </r>
    <r>
      <rPr>
        <vertAlign val="subscript"/>
        <sz val="10"/>
        <rFont val="Arial"/>
        <family val="2"/>
      </rPr>
      <t>DS(on)</t>
    </r>
    <r>
      <rPr>
        <sz val="10"/>
        <rFont val="Arial"/>
        <family val="2"/>
      </rPr>
      <t xml:space="preserve"> </t>
    </r>
  </si>
  <si>
    <r>
      <t>Total Gate Charge, Q</t>
    </r>
    <r>
      <rPr>
        <vertAlign val="subscript"/>
        <sz val="10"/>
        <rFont val="Arial"/>
        <family val="2"/>
      </rPr>
      <t>G</t>
    </r>
    <r>
      <rPr>
        <sz val="10"/>
        <rFont val="Arial"/>
        <family val="2"/>
      </rPr>
      <t xml:space="preserve"> </t>
    </r>
  </si>
  <si>
    <r>
      <t>Gate-Drain Charge, Q</t>
    </r>
    <r>
      <rPr>
        <vertAlign val="subscript"/>
        <sz val="10"/>
        <rFont val="Arial"/>
        <family val="2"/>
      </rPr>
      <t>GD</t>
    </r>
    <r>
      <rPr>
        <sz val="10"/>
        <rFont val="Arial"/>
        <family val="2"/>
      </rPr>
      <t xml:space="preserve"> </t>
    </r>
  </si>
  <si>
    <r>
      <t>Gate-Source Charge, Q</t>
    </r>
    <r>
      <rPr>
        <vertAlign val="subscript"/>
        <sz val="10"/>
        <rFont val="Arial"/>
        <family val="2"/>
      </rPr>
      <t>GS</t>
    </r>
    <r>
      <rPr>
        <sz val="10"/>
        <rFont val="Arial"/>
        <family val="2"/>
      </rPr>
      <t xml:space="preserve"> </t>
    </r>
  </si>
  <si>
    <r>
      <t>Gate Resistance, R</t>
    </r>
    <r>
      <rPr>
        <vertAlign val="subscript"/>
        <sz val="10"/>
        <rFont val="Arial"/>
        <family val="2"/>
      </rPr>
      <t>G</t>
    </r>
    <r>
      <rPr>
        <sz val="10"/>
        <rFont val="Arial"/>
        <family val="2"/>
      </rPr>
      <t xml:space="preserve"> </t>
    </r>
  </si>
  <si>
    <r>
      <t>Transconductance, g</t>
    </r>
    <r>
      <rPr>
        <vertAlign val="subscript"/>
        <sz val="10"/>
        <rFont val="Arial"/>
        <family val="2"/>
      </rPr>
      <t>FS</t>
    </r>
    <r>
      <rPr>
        <sz val="10"/>
        <rFont val="Arial"/>
        <family val="2"/>
      </rPr>
      <t xml:space="preserve"> </t>
    </r>
  </si>
  <si>
    <r>
      <t>Gate-Source Threshold Voltage, V</t>
    </r>
    <r>
      <rPr>
        <vertAlign val="subscript"/>
        <sz val="10"/>
        <rFont val="Arial"/>
        <family val="2"/>
      </rPr>
      <t>TH</t>
    </r>
    <r>
      <rPr>
        <sz val="10"/>
        <rFont val="Arial"/>
        <family val="2"/>
      </rPr>
      <t xml:space="preserve"> </t>
    </r>
  </si>
  <si>
    <t>mΩ</t>
  </si>
  <si>
    <t>nC</t>
  </si>
  <si>
    <t>Ω</t>
  </si>
  <si>
    <t>S</t>
  </si>
  <si>
    <t>Diode Parameters</t>
  </si>
  <si>
    <t>MOSFET parameters</t>
  </si>
  <si>
    <r>
      <t>Forward Voltage Drop (V</t>
    </r>
    <r>
      <rPr>
        <vertAlign val="subscript"/>
        <sz val="11"/>
        <color theme="1"/>
        <rFont val="Calibri"/>
        <family val="2"/>
        <scheme val="minor"/>
      </rPr>
      <t>D</t>
    </r>
    <r>
      <rPr>
        <sz val="11"/>
        <color theme="1"/>
        <rFont val="Calibri"/>
        <family val="2"/>
        <scheme val="minor"/>
      </rPr>
      <t>)</t>
    </r>
  </si>
  <si>
    <t>MOSFET Parameters</t>
  </si>
  <si>
    <t>Qg_tot</t>
  </si>
  <si>
    <t>Qgs</t>
  </si>
  <si>
    <t>Qgd</t>
  </si>
  <si>
    <t>Rgate</t>
  </si>
  <si>
    <t>gfs</t>
  </si>
  <si>
    <t>Vth</t>
  </si>
  <si>
    <t>Reverse recovery charge of Schottky  Diode (QRR)</t>
  </si>
  <si>
    <t>C</t>
  </si>
  <si>
    <t>Shottky Reverse recovery charge</t>
  </si>
  <si>
    <t>Qrr</t>
  </si>
  <si>
    <t>RDS_on</t>
  </si>
  <si>
    <t>Rgate_int</t>
  </si>
  <si>
    <t>Internal Gate resistance of the MOSFET driver.</t>
  </si>
  <si>
    <t>Vsp</t>
  </si>
  <si>
    <t>Gate voltage when MOSFET begins conducting current</t>
  </si>
  <si>
    <t>Rise time of the switch node</t>
  </si>
  <si>
    <t>Fall time of the switch node</t>
  </si>
  <si>
    <t>VCC</t>
  </si>
  <si>
    <t>VCC regulator</t>
  </si>
  <si>
    <t>Vcc</t>
  </si>
  <si>
    <t>Regulated output voltage of internal LDO. Can change if this is externally biased.</t>
  </si>
  <si>
    <t>Need to double check this value</t>
  </si>
  <si>
    <t xml:space="preserve">VCC voltage. Can be changed with external bias. </t>
  </si>
  <si>
    <t>tr_sw</t>
  </si>
  <si>
    <t>tf_sw</t>
  </si>
  <si>
    <r>
      <t>ISW</t>
    </r>
    <r>
      <rPr>
        <vertAlign val="subscript"/>
        <sz val="11"/>
        <color theme="1"/>
        <rFont val="Calibri"/>
        <family val="2"/>
        <scheme val="minor"/>
      </rPr>
      <t xml:space="preserve">AVG </t>
    </r>
    <r>
      <rPr>
        <sz val="11"/>
        <color theme="1"/>
        <rFont val="Calibri"/>
        <family val="2"/>
        <scheme val="minor"/>
      </rPr>
      <t>(A)</t>
    </r>
  </si>
  <si>
    <r>
      <t>ISW</t>
    </r>
    <r>
      <rPr>
        <vertAlign val="subscript"/>
        <sz val="11"/>
        <color theme="1"/>
        <rFont val="Calibri"/>
        <family val="2"/>
        <scheme val="minor"/>
      </rPr>
      <t>RMS</t>
    </r>
  </si>
  <si>
    <r>
      <t>P</t>
    </r>
    <r>
      <rPr>
        <vertAlign val="subscript"/>
        <sz val="11"/>
        <color theme="1"/>
        <rFont val="Calibri"/>
        <family val="2"/>
        <scheme val="minor"/>
      </rPr>
      <t xml:space="preserve">Q_SW </t>
    </r>
    <r>
      <rPr>
        <sz val="11"/>
        <color theme="1"/>
        <rFont val="Calibri"/>
        <family val="2"/>
        <scheme val="minor"/>
      </rPr>
      <t>(W)</t>
    </r>
  </si>
  <si>
    <r>
      <t>P</t>
    </r>
    <r>
      <rPr>
        <vertAlign val="subscript"/>
        <sz val="11"/>
        <color theme="1"/>
        <rFont val="Calibri"/>
        <family val="2"/>
        <scheme val="minor"/>
      </rPr>
      <t xml:space="preserve">Q_COND </t>
    </r>
    <r>
      <rPr>
        <sz val="11"/>
        <color theme="1"/>
        <rFont val="Calibri"/>
        <family val="2"/>
        <scheme val="minor"/>
      </rPr>
      <t>(W)</t>
    </r>
  </si>
  <si>
    <r>
      <t>P</t>
    </r>
    <r>
      <rPr>
        <vertAlign val="subscript"/>
        <sz val="11"/>
        <color theme="1"/>
        <rFont val="Calibri"/>
        <family val="2"/>
        <scheme val="minor"/>
      </rPr>
      <t xml:space="preserve">Q_tot </t>
    </r>
    <r>
      <rPr>
        <sz val="11"/>
        <color theme="1"/>
        <rFont val="Calibri"/>
        <family val="2"/>
        <scheme val="minor"/>
      </rPr>
      <t>(W)</t>
    </r>
  </si>
  <si>
    <r>
      <t>P</t>
    </r>
    <r>
      <rPr>
        <vertAlign val="subscript"/>
        <sz val="11"/>
        <color theme="1"/>
        <rFont val="Calibri"/>
        <family val="2"/>
        <scheme val="minor"/>
      </rPr>
      <t xml:space="preserve">D_tot </t>
    </r>
    <r>
      <rPr>
        <sz val="11"/>
        <color theme="1"/>
        <rFont val="Calibri"/>
        <family val="2"/>
        <scheme val="minor"/>
      </rPr>
      <t>(W)</t>
    </r>
  </si>
  <si>
    <r>
      <t>P</t>
    </r>
    <r>
      <rPr>
        <vertAlign val="subscript"/>
        <sz val="11"/>
        <color theme="1"/>
        <rFont val="Calibri"/>
        <family val="2"/>
        <scheme val="minor"/>
      </rPr>
      <t>L_tot</t>
    </r>
    <r>
      <rPr>
        <sz val="11"/>
        <color theme="1"/>
        <rFont val="Calibri"/>
        <family val="2"/>
        <scheme val="minor"/>
      </rPr>
      <t xml:space="preserve"> (W)</t>
    </r>
  </si>
  <si>
    <r>
      <t>P</t>
    </r>
    <r>
      <rPr>
        <vertAlign val="subscript"/>
        <sz val="11"/>
        <color theme="1"/>
        <rFont val="Calibri"/>
        <family val="2"/>
        <scheme val="minor"/>
      </rPr>
      <t>RCS</t>
    </r>
    <r>
      <rPr>
        <sz val="11"/>
        <color theme="1"/>
        <rFont val="Calibri"/>
        <family val="2"/>
        <scheme val="minor"/>
      </rPr>
      <t xml:space="preserve"> (W)</t>
    </r>
  </si>
  <si>
    <t>Total Losses</t>
  </si>
  <si>
    <r>
      <t>P</t>
    </r>
    <r>
      <rPr>
        <vertAlign val="subscript"/>
        <sz val="11"/>
        <color theme="1"/>
        <rFont val="Calibri"/>
        <family val="2"/>
        <scheme val="minor"/>
      </rPr>
      <t>TOTAL</t>
    </r>
    <r>
      <rPr>
        <sz val="11"/>
        <color theme="1"/>
        <rFont val="Calibri"/>
        <family val="2"/>
        <scheme val="minor"/>
      </rPr>
      <t xml:space="preserve"> (W)</t>
    </r>
  </si>
  <si>
    <r>
      <t>P</t>
    </r>
    <r>
      <rPr>
        <vertAlign val="subscript"/>
        <sz val="11"/>
        <color theme="1"/>
        <rFont val="Calibri"/>
        <family val="2"/>
        <scheme val="minor"/>
      </rPr>
      <t>G_drv</t>
    </r>
    <r>
      <rPr>
        <sz val="11"/>
        <color theme="1"/>
        <rFont val="Calibri"/>
        <family val="2"/>
        <scheme val="minor"/>
      </rPr>
      <t xml:space="preserve"> (W)</t>
    </r>
  </si>
  <si>
    <r>
      <t>P</t>
    </r>
    <r>
      <rPr>
        <vertAlign val="subscript"/>
        <sz val="11"/>
        <color theme="1"/>
        <rFont val="Calibri"/>
        <family val="2"/>
        <scheme val="minor"/>
      </rPr>
      <t>IQ</t>
    </r>
    <r>
      <rPr>
        <sz val="11"/>
        <color theme="1"/>
        <rFont val="Calibri"/>
        <family val="2"/>
        <scheme val="minor"/>
      </rPr>
      <t xml:space="preserve"> (W)</t>
    </r>
  </si>
  <si>
    <t>IQ current</t>
  </si>
  <si>
    <t xml:space="preserve">IQ </t>
  </si>
  <si>
    <t>Non-switching IQ current</t>
  </si>
  <si>
    <t>Other Losses</t>
  </si>
  <si>
    <t>Eff</t>
  </si>
  <si>
    <r>
      <t>P</t>
    </r>
    <r>
      <rPr>
        <vertAlign val="subscript"/>
        <sz val="11"/>
        <color theme="1"/>
        <rFont val="Calibri"/>
        <family val="2"/>
        <scheme val="minor"/>
      </rPr>
      <t>OUT</t>
    </r>
    <r>
      <rPr>
        <sz val="11"/>
        <color theme="1"/>
        <rFont val="Calibri"/>
        <family val="2"/>
        <scheme val="minor"/>
      </rPr>
      <t xml:space="preserve"> (W)</t>
    </r>
  </si>
  <si>
    <t>MOSFET</t>
  </si>
  <si>
    <t>Inductor</t>
  </si>
  <si>
    <t>Diode</t>
  </si>
  <si>
    <r>
      <t>C</t>
    </r>
    <r>
      <rPr>
        <vertAlign val="subscript"/>
        <sz val="11"/>
        <color theme="1"/>
        <rFont val="Calibri"/>
        <family val="2"/>
        <scheme val="minor"/>
      </rPr>
      <t>COMP</t>
    </r>
  </si>
  <si>
    <r>
      <t>C</t>
    </r>
    <r>
      <rPr>
        <vertAlign val="subscript"/>
        <sz val="11"/>
        <color theme="1"/>
        <rFont val="Calibri"/>
        <family val="2"/>
        <scheme val="minor"/>
      </rPr>
      <t>HF</t>
    </r>
  </si>
  <si>
    <t>IOUT_VAR</t>
  </si>
  <si>
    <t>Variable output current (Need to add this in</t>
  </si>
  <si>
    <t>RHP_zero location based on the minimum input voltage</t>
  </si>
  <si>
    <t>Low frequency pole based on the minimum input voltage</t>
  </si>
  <si>
    <t>rad</t>
  </si>
  <si>
    <t>raf</t>
  </si>
  <si>
    <t>ESR zero based on the minimum input voltage</t>
  </si>
  <si>
    <t>This is based on the minimum input voltage. T</t>
  </si>
  <si>
    <t>Input Voltage</t>
  </si>
  <si>
    <r>
      <t>Recommended Inductance (L</t>
    </r>
    <r>
      <rPr>
        <vertAlign val="subscript"/>
        <sz val="10"/>
        <color theme="1"/>
        <rFont val="Calibri"/>
        <family val="2"/>
        <scheme val="minor"/>
      </rPr>
      <t>M_CALC</t>
    </r>
    <r>
      <rPr>
        <sz val="10"/>
        <color theme="1"/>
        <rFont val="Calibri"/>
        <family val="2"/>
        <scheme val="minor"/>
      </rPr>
      <t>)</t>
    </r>
  </si>
  <si>
    <r>
      <t>User Selection. Inductance, (L</t>
    </r>
    <r>
      <rPr>
        <vertAlign val="subscript"/>
        <sz val="10"/>
        <color theme="1"/>
        <rFont val="Calibri"/>
        <family val="2"/>
        <scheme val="minor"/>
      </rPr>
      <t>M</t>
    </r>
    <r>
      <rPr>
        <sz val="10"/>
        <color theme="1"/>
        <rFont val="Calibri"/>
        <family val="2"/>
        <scheme val="minor"/>
      </rPr>
      <t>)</t>
    </r>
  </si>
  <si>
    <t>Id_AVG</t>
  </si>
  <si>
    <t xml:space="preserve">Suggested average current rating of diode. </t>
  </si>
  <si>
    <r>
      <t>Calculated top UVLO resistor value (R</t>
    </r>
    <r>
      <rPr>
        <vertAlign val="subscript"/>
        <sz val="11"/>
        <color theme="1"/>
        <rFont val="Calibri"/>
        <family val="2"/>
        <scheme val="minor"/>
      </rPr>
      <t>UVT_CALC</t>
    </r>
    <r>
      <rPr>
        <sz val="11"/>
        <color theme="1"/>
        <rFont val="Calibri"/>
        <family val="2"/>
        <scheme val="minor"/>
      </rPr>
      <t>)</t>
    </r>
  </si>
  <si>
    <r>
      <t>Selected top UVLO resistor value (R</t>
    </r>
    <r>
      <rPr>
        <vertAlign val="subscript"/>
        <sz val="11"/>
        <color theme="1"/>
        <rFont val="Calibri"/>
        <family val="2"/>
        <scheme val="minor"/>
      </rPr>
      <t>UVT</t>
    </r>
    <r>
      <rPr>
        <sz val="11"/>
        <color theme="1"/>
        <rFont val="Calibri"/>
        <family val="2"/>
        <scheme val="minor"/>
      </rPr>
      <t>)</t>
    </r>
  </si>
  <si>
    <r>
      <t>Bottom UVLO Resistor (R</t>
    </r>
    <r>
      <rPr>
        <vertAlign val="subscript"/>
        <sz val="11"/>
        <color theme="1"/>
        <rFont val="Calibri"/>
        <family val="2"/>
        <scheme val="minor"/>
      </rPr>
      <t>UVB</t>
    </r>
    <r>
      <rPr>
        <sz val="11"/>
        <color theme="1"/>
        <rFont val="Calibri"/>
        <family val="2"/>
        <scheme val="minor"/>
      </rPr>
      <t>)</t>
    </r>
  </si>
  <si>
    <t>Calcualted top UVLO resistor</t>
  </si>
  <si>
    <t>Selected top UVLO resistor</t>
  </si>
  <si>
    <t>Calcualted Bottom UBLO Resistor</t>
  </si>
  <si>
    <t>Frcoss (VIN)min</t>
  </si>
  <si>
    <t>ADC_VINmin</t>
  </si>
  <si>
    <t>wp_lf_VINmin</t>
  </si>
  <si>
    <t>fp_lf_VINmin</t>
  </si>
  <si>
    <t>wz_esr_VINmin</t>
  </si>
  <si>
    <t>fz_esr_VINmin</t>
  </si>
  <si>
    <t>wz_RHP_VINmin</t>
  </si>
  <si>
    <t>fz_rhp_VINmin</t>
  </si>
  <si>
    <t>Se_VINmin</t>
  </si>
  <si>
    <t>Sn_VINmin</t>
  </si>
  <si>
    <t>wsl_VINmin</t>
  </si>
  <si>
    <t>Q_VINmin</t>
  </si>
  <si>
    <t>Operation Raange</t>
  </si>
  <si>
    <t>Vin_op_min</t>
  </si>
  <si>
    <t>Minimum operating voltage</t>
  </si>
  <si>
    <t>Maximum BIAS pin operating voltage</t>
  </si>
  <si>
    <t>Vin_op_max</t>
  </si>
  <si>
    <r>
      <t>Boost Converter Duty Cycle Limit by LM5155 at V</t>
    </r>
    <r>
      <rPr>
        <vertAlign val="subscript"/>
        <sz val="10"/>
        <color theme="1"/>
        <rFont val="Calibri"/>
        <family val="2"/>
        <scheme val="minor"/>
      </rPr>
      <t>SUPPLY(MIN)</t>
    </r>
  </si>
  <si>
    <r>
      <t>Desired Maximum Inductor Current Ripple Ratio (I</t>
    </r>
    <r>
      <rPr>
        <vertAlign val="subscript"/>
        <sz val="10"/>
        <color theme="1"/>
        <rFont val="Calibri"/>
        <family val="2"/>
        <scheme val="minor"/>
      </rPr>
      <t>RR_MAX</t>
    </r>
    <r>
      <rPr>
        <sz val="10"/>
        <color theme="1"/>
        <rFont val="Calibri"/>
        <family val="2"/>
        <scheme val="minor"/>
      </rPr>
      <t>)</t>
    </r>
  </si>
  <si>
    <t>Peak Current Limit Margin</t>
  </si>
  <si>
    <r>
      <t>Voltage selected (V</t>
    </r>
    <r>
      <rPr>
        <vertAlign val="subscript"/>
        <sz val="11"/>
        <rFont val="Calibri"/>
        <family val="2"/>
        <scheme val="minor"/>
      </rPr>
      <t>IN_VAR</t>
    </r>
    <r>
      <rPr>
        <sz val="11"/>
        <rFont val="Calibri"/>
        <family val="2"/>
        <scheme val="minor"/>
      </rPr>
      <t>)</t>
    </r>
  </si>
  <si>
    <t>This should be set at or near the lowest RHP zero Frequency</t>
  </si>
  <si>
    <t>Set between 1/2 fsw and the RHPz in the application note. This is aggressive</t>
  </si>
  <si>
    <r>
      <t>Recommended minimum average current rating (I</t>
    </r>
    <r>
      <rPr>
        <vertAlign val="subscript"/>
        <sz val="11"/>
        <color theme="1"/>
        <rFont val="Calibri"/>
        <family val="2"/>
        <scheme val="minor"/>
      </rPr>
      <t>D_AVG</t>
    </r>
    <r>
      <rPr>
        <sz val="11"/>
        <color theme="1"/>
        <rFont val="Calibri"/>
        <family val="2"/>
        <scheme val="minor"/>
      </rPr>
      <t>)</t>
    </r>
  </si>
  <si>
    <r>
      <t>Recommended current sense Resistor (R</t>
    </r>
    <r>
      <rPr>
        <vertAlign val="subscript"/>
        <sz val="11"/>
        <color theme="1"/>
        <rFont val="Calibri"/>
        <family val="2"/>
        <scheme val="minor"/>
      </rPr>
      <t>S</t>
    </r>
    <r>
      <rPr>
        <sz val="11"/>
        <color theme="1"/>
        <rFont val="Calibri"/>
        <family val="2"/>
        <scheme val="minor"/>
      </rPr>
      <t>)</t>
    </r>
  </si>
  <si>
    <r>
      <t>Selected current sense Resistor (R</t>
    </r>
    <r>
      <rPr>
        <vertAlign val="subscript"/>
        <sz val="11"/>
        <color theme="1"/>
        <rFont val="Calibri"/>
        <family val="2"/>
        <scheme val="minor"/>
      </rPr>
      <t>S</t>
    </r>
    <r>
      <rPr>
        <sz val="11"/>
        <color theme="1"/>
        <rFont val="Calibri"/>
        <family val="2"/>
        <scheme val="minor"/>
      </rPr>
      <t>)</t>
    </r>
  </si>
  <si>
    <t>CCM</t>
  </si>
  <si>
    <t>DCM</t>
  </si>
  <si>
    <t>Dc_DCM_max_ideal</t>
  </si>
  <si>
    <t>Duty cycle at the mimum input voltage (DCM)</t>
  </si>
  <si>
    <t>Duty cycle at the nominal input voltage (DCM)</t>
  </si>
  <si>
    <t>Duty cycle at the maximum input voltage (DCM)</t>
  </si>
  <si>
    <t>Dc_DCM_VIN_min</t>
  </si>
  <si>
    <t>IL_avg_DCM_VIN_min</t>
  </si>
  <si>
    <t>Dc_DCM_VIN_nom</t>
  </si>
  <si>
    <t>IL_avg_DCM_VIN_nom</t>
  </si>
  <si>
    <t>Dc_DCM_VIN_max</t>
  </si>
  <si>
    <t xml:space="preserve">Duty cycle at the mimum input voltage </t>
  </si>
  <si>
    <t>Duty cycle at the nominal input voltage</t>
  </si>
  <si>
    <t>Duty cycle at the maximum input voltage</t>
  </si>
  <si>
    <t>Dc_CCM_max_ideal</t>
  </si>
  <si>
    <t>Dc_CCM_VIN_min</t>
  </si>
  <si>
    <t>IL_avg_CCM_VIN_min</t>
  </si>
  <si>
    <t>Dc_CCM_VIN_nom</t>
  </si>
  <si>
    <t>IL_avg_CCM_VIN_nom</t>
  </si>
  <si>
    <t>Dc_CCM_VIN_max</t>
  </si>
  <si>
    <t>IL_avg_CCM_VIN_max</t>
  </si>
  <si>
    <t>Selected Mode for Calculation</t>
  </si>
  <si>
    <t>Possible Mode due to Load and L Selection</t>
  </si>
  <si>
    <t xml:space="preserve">Ideal Duty Cycle at VSUPPLY(MIN) </t>
  </si>
  <si>
    <t>CCM/DCM selected</t>
  </si>
  <si>
    <t>Rsl_max</t>
  </si>
  <si>
    <t>Maximum Value of Rsl (DS page 21)</t>
  </si>
  <si>
    <t>Operation Mode</t>
  </si>
  <si>
    <t>Version Number</t>
  </si>
  <si>
    <t>1.0.0</t>
  </si>
  <si>
    <t>Version History</t>
  </si>
  <si>
    <t>Version</t>
  </si>
  <si>
    <t>Change List Description</t>
  </si>
  <si>
    <t>Initial Release</t>
  </si>
  <si>
    <r>
      <t>Desired soft-start time at minimum input voltage (T</t>
    </r>
    <r>
      <rPr>
        <vertAlign val="subscript"/>
        <sz val="11"/>
        <color theme="1"/>
        <rFont val="Calibri"/>
        <family val="2"/>
        <scheme val="minor"/>
      </rPr>
      <t>SS</t>
    </r>
    <r>
      <rPr>
        <sz val="11"/>
        <color theme="1"/>
        <rFont val="Calibri"/>
        <family val="2"/>
        <scheme val="minor"/>
      </rPr>
      <t>)</t>
    </r>
  </si>
  <si>
    <r>
      <t>Select a bottom resistor based on calculated value(R</t>
    </r>
    <r>
      <rPr>
        <vertAlign val="subscript"/>
        <sz val="11"/>
        <color theme="1"/>
        <rFont val="Calibri"/>
        <family val="2"/>
        <scheme val="minor"/>
      </rPr>
      <t>FBB</t>
    </r>
    <r>
      <rPr>
        <sz val="11"/>
        <color theme="1"/>
        <rFont val="Calibri"/>
        <family val="2"/>
        <scheme val="minor"/>
      </rPr>
      <t>)</t>
    </r>
  </si>
  <si>
    <t>1.1.0</t>
  </si>
  <si>
    <t>Added DCM mode</t>
  </si>
  <si>
    <t>Sel_Cond_Mode</t>
  </si>
  <si>
    <t>ConductionMode</t>
  </si>
  <si>
    <t>Gain Cross</t>
  </si>
  <si>
    <t>Phase Cross</t>
  </si>
  <si>
    <t>XOVER SEARCH</t>
  </si>
  <si>
    <t>xover</t>
  </si>
  <si>
    <t>phase margin</t>
  </si>
  <si>
    <r>
      <t>Target Output Voltage, V</t>
    </r>
    <r>
      <rPr>
        <vertAlign val="subscript"/>
        <sz val="10"/>
        <color theme="1"/>
        <rFont val="Calibri"/>
        <family val="2"/>
        <scheme val="minor"/>
      </rPr>
      <t>LOAD</t>
    </r>
    <r>
      <rPr>
        <sz val="10"/>
        <color theme="1"/>
        <rFont val="Calibri"/>
        <family val="2"/>
        <scheme val="minor"/>
      </rPr>
      <t xml:space="preserve"> </t>
    </r>
  </si>
  <si>
    <r>
      <t>Desired Output ripple voltage (</t>
    </r>
    <r>
      <rPr>
        <sz val="11"/>
        <color theme="1"/>
        <rFont val="Calibri"/>
        <family val="2"/>
      </rPr>
      <t>Δv</t>
    </r>
    <r>
      <rPr>
        <vertAlign val="subscript"/>
        <sz val="11"/>
        <color theme="1"/>
        <rFont val="Calibri"/>
        <family val="2"/>
      </rPr>
      <t>OUT</t>
    </r>
    <r>
      <rPr>
        <sz val="11"/>
        <color theme="1"/>
        <rFont val="Calibri"/>
        <family val="2"/>
      </rPr>
      <t>)</t>
    </r>
  </si>
  <si>
    <r>
      <rPr>
        <sz val="11"/>
        <color theme="1"/>
        <rFont val="Calibri"/>
        <family val="2"/>
      </rPr>
      <t>μ</t>
    </r>
    <r>
      <rPr>
        <sz val="11"/>
        <color theme="1"/>
        <rFont val="Calibri"/>
        <family val="2"/>
        <scheme val="minor"/>
      </rPr>
      <t>H</t>
    </r>
  </si>
  <si>
    <r>
      <rPr>
        <sz val="11"/>
        <color theme="1"/>
        <rFont val="Calibri"/>
        <family val="2"/>
      </rPr>
      <t>μ</t>
    </r>
    <r>
      <rPr>
        <sz val="11"/>
        <color theme="1"/>
        <rFont val="Calibri"/>
        <family val="2"/>
        <scheme val="minor"/>
      </rPr>
      <t>F</t>
    </r>
  </si>
  <si>
    <t>wp_hf</t>
  </si>
  <si>
    <t>HF pole used for DCM</t>
  </si>
  <si>
    <t>Fn</t>
  </si>
  <si>
    <t>M</t>
  </si>
  <si>
    <t>Hd</t>
  </si>
  <si>
    <t>tauL</t>
  </si>
  <si>
    <t>Suggested maximum bandwidth</t>
  </si>
  <si>
    <r>
      <t>Selected bandwidth (F</t>
    </r>
    <r>
      <rPr>
        <vertAlign val="subscript"/>
        <sz val="11"/>
        <color theme="1"/>
        <rFont val="Calibri"/>
        <family val="2"/>
        <scheme val="minor"/>
      </rPr>
      <t>CO</t>
    </r>
    <r>
      <rPr>
        <sz val="11"/>
        <color theme="1"/>
        <rFont val="Calibri"/>
        <family val="2"/>
        <scheme val="minor"/>
      </rPr>
      <t>)</t>
    </r>
  </si>
  <si>
    <t>Mode</t>
  </si>
  <si>
    <t>Valid Lm</t>
  </si>
  <si>
    <t>L dcm/ccm</t>
  </si>
  <si>
    <t>min</t>
  </si>
  <si>
    <t>max</t>
  </si>
  <si>
    <t>min10%</t>
  </si>
  <si>
    <t>max10%</t>
  </si>
  <si>
    <t>V in min</t>
  </si>
  <si>
    <t>V in nom</t>
  </si>
  <si>
    <t>DC CCM &lt; DCM</t>
  </si>
  <si>
    <t>CCM/DCM</t>
  </si>
  <si>
    <t>Dc_Mode_Loop_Loop</t>
  </si>
  <si>
    <t>Duty Cycle mode for Loop Comenstation</t>
  </si>
  <si>
    <t>CCM only</t>
  </si>
  <si>
    <t>DCM only</t>
  </si>
  <si>
    <t>ModeCheck</t>
  </si>
  <si>
    <t>Lcalc_VIN_max</t>
  </si>
  <si>
    <t>Lcalc_VIN_nom</t>
  </si>
  <si>
    <t>Inductor at Nominal input voltage</t>
  </si>
  <si>
    <t>Inductor at Maximum input voltage</t>
  </si>
  <si>
    <t>V in max</t>
  </si>
  <si>
    <t>Strategy DCM</t>
  </si>
  <si>
    <t>L_DCM</t>
  </si>
  <si>
    <t>1.1.1</t>
  </si>
  <si>
    <t>Fixed reporting of wrong phase Margin</t>
  </si>
  <si>
    <t>Rev 1.1.1</t>
  </si>
  <si>
    <t>August-2021</t>
  </si>
  <si>
    <t>LM5155/56 DC/DC BOOST Controller Design Tool</t>
  </si>
  <si>
    <t>VIN_op_max_56</t>
  </si>
  <si>
    <t>Maximum BIAS pin operating voltage LM5156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</si>
</sst>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E+00"/>
    <numFmt numFmtId="166" formatCode="0.0000"/>
    <numFmt numFmtId="167" formatCode="0.0000E+00"/>
    <numFmt numFmtId="168" formatCode="0.0"/>
    <numFmt numFmtId="169" formatCode="0.0E+00"/>
  </numFmts>
  <fonts count="48"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sz val="10"/>
      <name val="Arial"/>
      <family val="2"/>
    </font>
    <font>
      <b/>
      <sz val="10"/>
      <name val="Arial"/>
      <family val="2"/>
    </font>
    <font>
      <b/>
      <sz val="22"/>
      <color indexed="44"/>
      <name val="Arial"/>
      <family val="2"/>
    </font>
    <font>
      <b/>
      <sz val="9"/>
      <color indexed="81"/>
      <name val="Tahoma"/>
      <family val="2"/>
    </font>
    <font>
      <sz val="9"/>
      <color indexed="81"/>
      <name val="Tahoma"/>
      <family val="2"/>
    </font>
    <font>
      <b/>
      <sz val="12"/>
      <color rgb="FF0000FF"/>
      <name val="Arial"/>
      <family val="2"/>
    </font>
    <font>
      <sz val="28"/>
      <color theme="0"/>
      <name val="Calibri"/>
      <family val="2"/>
      <scheme val="minor"/>
    </font>
    <font>
      <b/>
      <sz val="11"/>
      <color indexed="10"/>
      <name val="Tahoma"/>
      <family val="2"/>
    </font>
    <font>
      <sz val="10"/>
      <color theme="1"/>
      <name val="Calibri"/>
      <family val="2"/>
      <scheme val="minor"/>
    </font>
    <font>
      <vertAlign val="subscript"/>
      <sz val="10"/>
      <color theme="1"/>
      <name val="Calibri"/>
      <family val="2"/>
      <scheme val="minor"/>
    </font>
    <font>
      <sz val="11"/>
      <name val="Calibri"/>
      <family val="2"/>
      <scheme val="minor"/>
    </font>
    <font>
      <b/>
      <sz val="11"/>
      <color rgb="FF0070C0"/>
      <name val="Calibri"/>
      <family val="2"/>
      <scheme val="minor"/>
    </font>
    <font>
      <sz val="11"/>
      <color theme="1"/>
      <name val="Calibri"/>
      <family val="2"/>
    </font>
    <font>
      <u/>
      <sz val="11"/>
      <color theme="1"/>
      <name val="Calibri"/>
      <family val="2"/>
      <scheme val="minor"/>
    </font>
    <font>
      <vertAlign val="subscript"/>
      <sz val="11"/>
      <color theme="1"/>
      <name val="Calibri"/>
      <family val="2"/>
      <scheme val="minor"/>
    </font>
    <font>
      <b/>
      <sz val="12"/>
      <color theme="1"/>
      <name val="Calibri"/>
      <family val="2"/>
      <scheme val="minor"/>
    </font>
    <font>
      <vertAlign val="subscript"/>
      <sz val="11"/>
      <color theme="1"/>
      <name val="Calibri"/>
      <family val="2"/>
    </font>
    <font>
      <b/>
      <sz val="11"/>
      <color theme="3" tint="0.39997558519241921"/>
      <name val="Calibri"/>
      <family val="2"/>
      <scheme val="minor"/>
    </font>
    <font>
      <b/>
      <sz val="11"/>
      <color theme="1"/>
      <name val="Calibri"/>
      <family val="2"/>
      <scheme val="minor"/>
    </font>
    <font>
      <sz val="10"/>
      <name val="Calibri"/>
      <family val="2"/>
      <scheme val="minor"/>
    </font>
    <font>
      <b/>
      <sz val="12"/>
      <color rgb="FF00B0F0"/>
      <name val="Calibri"/>
      <family val="2"/>
      <scheme val="minor"/>
    </font>
    <font>
      <b/>
      <sz val="11"/>
      <color rgb="FF00B0F0"/>
      <name val="Calibri"/>
      <family val="2"/>
      <scheme val="minor"/>
    </font>
    <font>
      <b/>
      <sz val="10"/>
      <color rgb="FF00B0F0"/>
      <name val="Arial"/>
      <family val="2"/>
    </font>
    <font>
      <sz val="18"/>
      <color theme="0"/>
      <name val="Calibri"/>
      <family val="2"/>
      <scheme val="minor"/>
    </font>
    <font>
      <vertAlign val="subscript"/>
      <sz val="10"/>
      <name val="Arial"/>
      <family val="2"/>
    </font>
    <font>
      <vertAlign val="subscript"/>
      <sz val="11"/>
      <name val="Calibri"/>
      <family val="2"/>
      <scheme val="minor"/>
    </font>
    <font>
      <b/>
      <sz val="11"/>
      <color theme="4"/>
      <name val="Calibri"/>
      <family val="2"/>
      <scheme val="minor"/>
    </font>
    <font>
      <b/>
      <sz val="9"/>
      <color indexed="10"/>
      <name val="Tahoma"/>
      <family val="2"/>
    </font>
    <font>
      <vertAlign val="subscript"/>
      <sz val="9"/>
      <color indexed="81"/>
      <name val="Tahoma"/>
      <family val="2"/>
    </font>
    <font>
      <sz val="11"/>
      <color indexed="10"/>
      <name val="Calibri"/>
      <family val="2"/>
      <scheme val="minor"/>
    </font>
    <font>
      <sz val="11"/>
      <color rgb="FFFF0000"/>
      <name val="Calibri"/>
      <family val="2"/>
      <scheme val="minor"/>
    </font>
    <font>
      <u/>
      <sz val="11"/>
      <color theme="10"/>
      <name val="Calibri"/>
      <family val="2"/>
      <scheme val="minor"/>
    </font>
    <font>
      <sz val="11"/>
      <color theme="1"/>
      <name val="Arial"/>
      <family val="2"/>
    </font>
    <font>
      <b/>
      <sz val="10"/>
      <color theme="1"/>
      <name val="Arial"/>
      <family val="2"/>
    </font>
    <font>
      <sz val="10"/>
      <color theme="1"/>
      <name val="Arial"/>
      <family val="2"/>
    </font>
    <font>
      <b/>
      <u/>
      <sz val="10"/>
      <color theme="10"/>
      <name val="Arial"/>
      <family val="2"/>
    </font>
    <font>
      <b/>
      <sz val="10"/>
      <color theme="0"/>
      <name val="Arial"/>
      <family val="2"/>
    </font>
    <font>
      <b/>
      <u/>
      <sz val="11"/>
      <color theme="10"/>
      <name val="Arial"/>
      <family val="2"/>
    </font>
    <font>
      <b/>
      <sz val="9"/>
      <color indexed="52"/>
      <name val="Tahoma"/>
      <family val="2"/>
    </font>
    <font>
      <b/>
      <sz val="9"/>
      <color rgb="FF000000"/>
      <name val="Tahoma"/>
      <family val="2"/>
    </font>
    <font>
      <sz val="9"/>
      <color rgb="FF000000"/>
      <name val="Tahoma"/>
      <family val="2"/>
    </font>
    <font>
      <b/>
      <sz val="9"/>
      <color rgb="FFFF0000"/>
      <name val="Tahoma"/>
      <family val="2"/>
    </font>
    <font>
      <vertAlign val="subscript"/>
      <sz val="9"/>
      <color rgb="FF000000"/>
      <name val="Tahoma"/>
      <family val="2"/>
    </font>
    <font>
      <b/>
      <sz val="8"/>
      <color rgb="FF000000"/>
      <name val="Tahoma"/>
      <family val="2"/>
    </font>
  </fonts>
  <fills count="20">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52"/>
        <bgColor indexed="64"/>
      </patternFill>
    </fill>
    <fill>
      <patternFill patternType="solid">
        <fgColor indexed="50"/>
        <bgColor indexed="64"/>
      </patternFill>
    </fill>
    <fill>
      <patternFill patternType="solid">
        <fgColor rgb="FFFF0000"/>
        <bgColor indexed="64"/>
      </patternFill>
    </fill>
    <fill>
      <patternFill patternType="solid">
        <fgColor rgb="FFFFFF00"/>
        <bgColor indexed="64"/>
      </patternFill>
    </fill>
    <fill>
      <patternFill patternType="solid">
        <fgColor theme="0" tint="-0.499984740745262"/>
        <bgColor indexed="64"/>
      </patternFill>
    </fill>
    <fill>
      <patternFill patternType="solid">
        <fgColor rgb="FFFFC00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2" tint="-0.89999084444715716"/>
        <bgColor indexed="64"/>
      </patternFill>
    </fill>
    <fill>
      <patternFill patternType="solid">
        <fgColor theme="0"/>
        <bgColor indexed="64"/>
      </patternFill>
    </fill>
    <fill>
      <patternFill patternType="solid">
        <fgColor theme="1"/>
        <bgColor indexed="64"/>
      </patternFill>
    </fill>
    <fill>
      <patternFill patternType="solid">
        <fgColor rgb="FFDE0000"/>
        <bgColor indexed="64"/>
      </patternFill>
    </fill>
    <fill>
      <patternFill patternType="solid">
        <fgColor indexed="44"/>
        <bgColor indexed="64"/>
      </patternFill>
    </fill>
  </fills>
  <borders count="2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xf numFmtId="0" fontId="3" fillId="0" borderId="0"/>
    <xf numFmtId="43" fontId="4" fillId="0" borderId="0" applyFont="0" applyFill="0" applyBorder="0" applyAlignment="0" applyProtection="0"/>
    <xf numFmtId="0" fontId="4" fillId="0" borderId="0"/>
    <xf numFmtId="0" fontId="1" fillId="0" borderId="0"/>
    <xf numFmtId="43" fontId="1" fillId="0" borderId="0" applyFont="0" applyFill="0" applyBorder="0" applyAlignment="0" applyProtection="0"/>
    <xf numFmtId="0" fontId="4" fillId="0" borderId="0"/>
    <xf numFmtId="0" fontId="4" fillId="0" borderId="0"/>
    <xf numFmtId="0" fontId="35" fillId="0" borderId="0" applyNumberFormat="0" applyFill="0" applyBorder="0" applyAlignment="0" applyProtection="0"/>
  </cellStyleXfs>
  <cellXfs count="252">
    <xf numFmtId="0" fontId="0" fillId="0" borderId="0" xfId="0"/>
    <xf numFmtId="0" fontId="0" fillId="9" borderId="0" xfId="0" applyFill="1"/>
    <xf numFmtId="0" fontId="16" fillId="0" borderId="0" xfId="0" applyFont="1"/>
    <xf numFmtId="0" fontId="0" fillId="10" borderId="0" xfId="0" applyFill="1"/>
    <xf numFmtId="0" fontId="4" fillId="0" borderId="0" xfId="3"/>
    <xf numFmtId="0" fontId="5" fillId="0" borderId="0" xfId="3" applyFont="1" applyAlignment="1">
      <alignment horizontal="center"/>
    </xf>
    <xf numFmtId="0" fontId="5" fillId="3" borderId="0" xfId="3" applyFont="1" applyFill="1" applyAlignment="1">
      <alignment horizontal="center"/>
    </xf>
    <xf numFmtId="0" fontId="5" fillId="4" borderId="0" xfId="3" applyFont="1" applyFill="1" applyAlignment="1">
      <alignment horizontal="center"/>
    </xf>
    <xf numFmtId="0" fontId="5" fillId="5" borderId="0" xfId="3" applyFont="1" applyFill="1" applyAlignment="1">
      <alignment horizontal="center"/>
    </xf>
    <xf numFmtId="0" fontId="5" fillId="0" borderId="0" xfId="3" applyFont="1"/>
    <xf numFmtId="0" fontId="9" fillId="0" borderId="0" xfId="3" applyFont="1"/>
    <xf numFmtId="2" fontId="0" fillId="10" borderId="0" xfId="0" applyNumberFormat="1" applyFill="1"/>
    <xf numFmtId="0" fontId="0" fillId="11" borderId="0" xfId="0" applyFill="1"/>
    <xf numFmtId="165" fontId="0" fillId="9" borderId="0" xfId="0" applyNumberFormat="1" applyFill="1"/>
    <xf numFmtId="0" fontId="5" fillId="0" borderId="0" xfId="3" applyFont="1" applyAlignment="1">
      <alignment horizontal="right"/>
    </xf>
    <xf numFmtId="0" fontId="4" fillId="0" borderId="0" xfId="3" applyAlignment="1">
      <alignment horizontal="center"/>
    </xf>
    <xf numFmtId="164" fontId="0" fillId="9" borderId="0" xfId="0" applyNumberFormat="1" applyFill="1"/>
    <xf numFmtId="2" fontId="0" fillId="9" borderId="0" xfId="0" applyNumberFormat="1" applyFill="1"/>
    <xf numFmtId="1" fontId="0" fillId="9" borderId="0" xfId="0" applyNumberFormat="1" applyFill="1"/>
    <xf numFmtId="0" fontId="15" fillId="0" borderId="0" xfId="0" applyFont="1"/>
    <xf numFmtId="164" fontId="0" fillId="0" borderId="0" xfId="0" applyNumberFormat="1"/>
    <xf numFmtId="11" fontId="14" fillId="10" borderId="0" xfId="0" applyNumberFormat="1" applyFont="1" applyFill="1"/>
    <xf numFmtId="0" fontId="17" fillId="0" borderId="0" xfId="0" applyFont="1"/>
    <xf numFmtId="2" fontId="0" fillId="0" borderId="0" xfId="0" applyNumberFormat="1"/>
    <xf numFmtId="167" fontId="0" fillId="9" borderId="0" xfId="0" applyNumberFormat="1" applyFill="1"/>
    <xf numFmtId="11" fontId="0" fillId="9" borderId="0" xfId="0" applyNumberFormat="1" applyFill="1"/>
    <xf numFmtId="0" fontId="5" fillId="0" borderId="0" xfId="3" applyFont="1" applyAlignment="1">
      <alignment horizontal="left"/>
    </xf>
    <xf numFmtId="166" fontId="0" fillId="9" borderId="0" xfId="0" applyNumberFormat="1" applyFill="1"/>
    <xf numFmtId="0" fontId="14" fillId="10" borderId="0" xfId="0" applyFont="1" applyFill="1"/>
    <xf numFmtId="0" fontId="19" fillId="0" borderId="0" xfId="0" applyFont="1"/>
    <xf numFmtId="0" fontId="21" fillId="0" borderId="0" xfId="0" applyFont="1"/>
    <xf numFmtId="0" fontId="0" fillId="12" borderId="0" xfId="0" applyFill="1"/>
    <xf numFmtId="1" fontId="0" fillId="0" borderId="0" xfId="0" applyNumberFormat="1"/>
    <xf numFmtId="0" fontId="22" fillId="0" borderId="0" xfId="0" applyFont="1"/>
    <xf numFmtId="0" fontId="23" fillId="0" borderId="0" xfId="0" applyFont="1"/>
    <xf numFmtId="168" fontId="0" fillId="0" borderId="0" xfId="0" applyNumberFormat="1"/>
    <xf numFmtId="169" fontId="0" fillId="0" borderId="0" xfId="0" applyNumberFormat="1"/>
    <xf numFmtId="0" fontId="0" fillId="0" borderId="13" xfId="0" applyBorder="1"/>
    <xf numFmtId="0" fontId="0" fillId="14" borderId="0" xfId="0" applyFill="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0" borderId="0" xfId="3" applyAlignment="1">
      <alignment horizontal="left"/>
    </xf>
    <xf numFmtId="0" fontId="4" fillId="0" borderId="8" xfId="3" applyBorder="1" applyAlignment="1">
      <alignment horizontal="left"/>
    </xf>
    <xf numFmtId="0" fontId="0" fillId="14" borderId="13" xfId="0" applyFill="1" applyBorder="1"/>
    <xf numFmtId="0" fontId="0" fillId="0" borderId="19" xfId="0" applyBorder="1"/>
    <xf numFmtId="0" fontId="0" fillId="14" borderId="15" xfId="0" applyFill="1" applyBorder="1"/>
    <xf numFmtId="0" fontId="0" fillId="0" borderId="20" xfId="0" applyBorder="1" applyAlignment="1">
      <alignment horizontal="center" wrapText="1"/>
    </xf>
    <xf numFmtId="0" fontId="0" fillId="0" borderId="21" xfId="0" applyBorder="1"/>
    <xf numFmtId="0" fontId="0" fillId="0" borderId="22" xfId="0" applyBorder="1"/>
    <xf numFmtId="0" fontId="14" fillId="0" borderId="0" xfId="0" applyFont="1"/>
    <xf numFmtId="0" fontId="0" fillId="6" borderId="0" xfId="0" applyFill="1" applyProtection="1">
      <protection hidden="1"/>
    </xf>
    <xf numFmtId="0" fontId="10" fillId="6" borderId="0" xfId="0" applyFont="1" applyFill="1" applyAlignment="1" applyProtection="1">
      <alignment horizontal="left" vertical="center"/>
      <protection hidden="1"/>
    </xf>
    <xf numFmtId="0" fontId="0" fillId="6" borderId="0" xfId="0" applyFill="1" applyAlignment="1" applyProtection="1">
      <alignment horizontal="right"/>
      <protection hidden="1"/>
    </xf>
    <xf numFmtId="0" fontId="14" fillId="8" borderId="0" xfId="0" applyFont="1" applyFill="1" applyProtection="1">
      <protection hidden="1"/>
    </xf>
    <xf numFmtId="0" fontId="0" fillId="15" borderId="0" xfId="0" applyFill="1" applyProtection="1">
      <protection hidden="1"/>
    </xf>
    <xf numFmtId="0" fontId="0" fillId="8" borderId="0" xfId="0" applyFill="1" applyProtection="1">
      <protection hidden="1"/>
    </xf>
    <xf numFmtId="0" fontId="0" fillId="8" borderId="0" xfId="0" applyFill="1" applyAlignment="1" applyProtection="1">
      <alignment horizontal="right"/>
      <protection hidden="1"/>
    </xf>
    <xf numFmtId="0" fontId="2" fillId="8" borderId="0" xfId="0" applyFont="1" applyFill="1" applyProtection="1">
      <protection hidden="1"/>
    </xf>
    <xf numFmtId="0" fontId="0" fillId="7" borderId="0" xfId="0" applyFill="1" applyProtection="1">
      <protection hidden="1"/>
    </xf>
    <xf numFmtId="0" fontId="2" fillId="8" borderId="0" xfId="0" quotePrefix="1" applyFont="1" applyFill="1" applyProtection="1">
      <protection hidden="1"/>
    </xf>
    <xf numFmtId="0" fontId="0" fillId="8" borderId="1" xfId="0" applyFill="1" applyBorder="1" applyProtection="1">
      <protection hidden="1"/>
    </xf>
    <xf numFmtId="0" fontId="0" fillId="8" borderId="1" xfId="0" applyFill="1" applyBorder="1" applyAlignment="1" applyProtection="1">
      <alignment horizontal="right"/>
      <protection hidden="1"/>
    </xf>
    <xf numFmtId="0" fontId="14" fillId="8" borderId="1" xfId="0" applyFont="1" applyFill="1" applyBorder="1" applyProtection="1">
      <protection hidden="1"/>
    </xf>
    <xf numFmtId="0" fontId="0" fillId="15" borderId="1" xfId="0" applyFill="1" applyBorder="1" applyProtection="1">
      <protection hidden="1"/>
    </xf>
    <xf numFmtId="0" fontId="0" fillId="16" borderId="0" xfId="0" applyFill="1" applyProtection="1">
      <protection hidden="1"/>
    </xf>
    <xf numFmtId="0" fontId="0" fillId="16" borderId="0" xfId="0" applyFill="1" applyAlignment="1" applyProtection="1">
      <alignment horizontal="right"/>
      <protection hidden="1"/>
    </xf>
    <xf numFmtId="49" fontId="0" fillId="16" borderId="0" xfId="0" applyNumberFormat="1" applyFill="1" applyProtection="1">
      <protection hidden="1"/>
    </xf>
    <xf numFmtId="0" fontId="15" fillId="16" borderId="0" xfId="0" applyFont="1" applyFill="1" applyProtection="1">
      <protection hidden="1"/>
    </xf>
    <xf numFmtId="0" fontId="0" fillId="16" borderId="2" xfId="0" applyFill="1" applyBorder="1" applyProtection="1">
      <protection hidden="1"/>
    </xf>
    <xf numFmtId="0" fontId="0" fillId="16" borderId="3" xfId="0" applyFill="1" applyBorder="1" applyProtection="1">
      <protection hidden="1"/>
    </xf>
    <xf numFmtId="0" fontId="12" fillId="16" borderId="3" xfId="3" applyFont="1" applyFill="1" applyBorder="1" applyAlignment="1" applyProtection="1">
      <alignment horizontal="right"/>
      <protection hidden="1"/>
    </xf>
    <xf numFmtId="0" fontId="0" fillId="16" borderId="4" xfId="0" applyFill="1" applyBorder="1" applyProtection="1">
      <protection hidden="1"/>
    </xf>
    <xf numFmtId="0" fontId="0" fillId="16" borderId="5" xfId="0" applyFill="1" applyBorder="1" applyProtection="1">
      <protection hidden="1"/>
    </xf>
    <xf numFmtId="0" fontId="12" fillId="16" borderId="0" xfId="3" applyFont="1" applyFill="1" applyAlignment="1" applyProtection="1">
      <alignment horizontal="right"/>
      <protection hidden="1"/>
    </xf>
    <xf numFmtId="0" fontId="0" fillId="16" borderId="6" xfId="0" applyFill="1" applyBorder="1" applyProtection="1">
      <protection hidden="1"/>
    </xf>
    <xf numFmtId="0" fontId="12" fillId="16" borderId="5" xfId="0" applyFont="1" applyFill="1" applyBorder="1" applyProtection="1">
      <protection hidden="1"/>
    </xf>
    <xf numFmtId="0" fontId="12" fillId="16" borderId="0" xfId="0" applyFont="1" applyFill="1" applyProtection="1">
      <protection hidden="1"/>
    </xf>
    <xf numFmtId="0" fontId="12" fillId="16" borderId="0" xfId="0" applyFont="1" applyFill="1" applyAlignment="1" applyProtection="1">
      <alignment horizontal="right"/>
      <protection hidden="1"/>
    </xf>
    <xf numFmtId="0" fontId="12" fillId="16" borderId="7" xfId="0" applyFont="1" applyFill="1" applyBorder="1" applyProtection="1">
      <protection hidden="1"/>
    </xf>
    <xf numFmtId="0" fontId="12" fillId="16" borderId="8" xfId="0" applyFont="1" applyFill="1" applyBorder="1" applyProtection="1">
      <protection hidden="1"/>
    </xf>
    <xf numFmtId="0" fontId="0" fillId="16" borderId="8" xfId="0" applyFill="1" applyBorder="1" applyProtection="1">
      <protection hidden="1"/>
    </xf>
    <xf numFmtId="0" fontId="12" fillId="16" borderId="8" xfId="0" applyFont="1" applyFill="1" applyBorder="1" applyAlignment="1" applyProtection="1">
      <alignment horizontal="right"/>
      <protection hidden="1"/>
    </xf>
    <xf numFmtId="0" fontId="0" fillId="16" borderId="9" xfId="0" applyFill="1" applyBorder="1" applyProtection="1">
      <protection hidden="1"/>
    </xf>
    <xf numFmtId="0" fontId="12" fillId="16" borderId="2" xfId="0" applyFont="1" applyFill="1" applyBorder="1" applyProtection="1">
      <protection hidden="1"/>
    </xf>
    <xf numFmtId="0" fontId="12" fillId="16" borderId="3" xfId="0" applyFont="1" applyFill="1" applyBorder="1" applyProtection="1">
      <protection hidden="1"/>
    </xf>
    <xf numFmtId="0" fontId="0" fillId="16" borderId="7" xfId="0" applyFill="1" applyBorder="1" applyProtection="1">
      <protection hidden="1"/>
    </xf>
    <xf numFmtId="0" fontId="12" fillId="16" borderId="8" xfId="3" applyFont="1" applyFill="1" applyBorder="1" applyAlignment="1" applyProtection="1">
      <alignment horizontal="right"/>
      <protection hidden="1"/>
    </xf>
    <xf numFmtId="0" fontId="16" fillId="16" borderId="6" xfId="0" applyFont="1" applyFill="1" applyBorder="1" applyProtection="1">
      <protection hidden="1"/>
    </xf>
    <xf numFmtId="0" fontId="0" fillId="16" borderId="8" xfId="0" applyFill="1" applyBorder="1" applyAlignment="1" applyProtection="1">
      <alignment horizontal="right"/>
      <protection hidden="1"/>
    </xf>
    <xf numFmtId="0" fontId="16" fillId="16" borderId="9" xfId="0" applyFont="1" applyFill="1" applyBorder="1" applyProtection="1">
      <protection hidden="1"/>
    </xf>
    <xf numFmtId="0" fontId="0" fillId="16" borderId="3" xfId="0" applyFill="1" applyBorder="1" applyAlignment="1" applyProtection="1">
      <alignment horizontal="right"/>
      <protection hidden="1"/>
    </xf>
    <xf numFmtId="0" fontId="15" fillId="16" borderId="2" xfId="0" applyFont="1" applyFill="1" applyBorder="1" applyProtection="1">
      <protection hidden="1"/>
    </xf>
    <xf numFmtId="0" fontId="14" fillId="16" borderId="3" xfId="0" applyFont="1" applyFill="1" applyBorder="1" applyAlignment="1" applyProtection="1">
      <alignment horizontal="right"/>
      <protection hidden="1"/>
    </xf>
    <xf numFmtId="0" fontId="15" fillId="16" borderId="5" xfId="0" applyFont="1" applyFill="1" applyBorder="1" applyProtection="1">
      <protection hidden="1"/>
    </xf>
    <xf numFmtId="0" fontId="22" fillId="16" borderId="0" xfId="0" applyFont="1" applyFill="1" applyAlignment="1" applyProtection="1">
      <alignment horizontal="right"/>
      <protection hidden="1"/>
    </xf>
    <xf numFmtId="0" fontId="0" fillId="0" borderId="0" xfId="0" applyProtection="1">
      <protection hidden="1"/>
    </xf>
    <xf numFmtId="0" fontId="0" fillId="16" borderId="0" xfId="0" applyFill="1" applyAlignment="1" applyProtection="1">
      <alignment horizontal="center"/>
      <protection hidden="1"/>
    </xf>
    <xf numFmtId="0" fontId="0" fillId="16" borderId="6" xfId="0" applyFill="1" applyBorder="1" applyAlignment="1" applyProtection="1">
      <alignment horizontal="center"/>
      <protection hidden="1"/>
    </xf>
    <xf numFmtId="1" fontId="0" fillId="16" borderId="0" xfId="0" applyNumberFormat="1" applyFill="1" applyProtection="1">
      <protection hidden="1"/>
    </xf>
    <xf numFmtId="0" fontId="27" fillId="13" borderId="0" xfId="0" applyFont="1" applyFill="1" applyProtection="1">
      <protection hidden="1"/>
    </xf>
    <xf numFmtId="0" fontId="0" fillId="13" borderId="0" xfId="0" applyFill="1" applyProtection="1">
      <protection hidden="1"/>
    </xf>
    <xf numFmtId="0" fontId="0" fillId="13" borderId="0" xfId="0" applyFill="1" applyAlignment="1" applyProtection="1">
      <alignment horizontal="right"/>
      <protection hidden="1"/>
    </xf>
    <xf numFmtId="0" fontId="0" fillId="17" borderId="0" xfId="0" applyFill="1" applyProtection="1">
      <protection hidden="1"/>
    </xf>
    <xf numFmtId="0" fontId="30" fillId="16" borderId="0" xfId="0" applyFont="1" applyFill="1" applyAlignment="1" applyProtection="1">
      <alignment horizontal="left"/>
      <protection hidden="1"/>
    </xf>
    <xf numFmtId="0" fontId="4" fillId="16" borderId="3" xfId="3" applyFill="1" applyBorder="1" applyAlignment="1" applyProtection="1">
      <alignment horizontal="right"/>
      <protection hidden="1"/>
    </xf>
    <xf numFmtId="0" fontId="4" fillId="16" borderId="4" xfId="3" applyFill="1" applyBorder="1" applyProtection="1">
      <protection hidden="1"/>
    </xf>
    <xf numFmtId="0" fontId="4" fillId="16" borderId="0" xfId="3" applyFill="1" applyAlignment="1" applyProtection="1">
      <alignment horizontal="right"/>
      <protection hidden="1"/>
    </xf>
    <xf numFmtId="0" fontId="4" fillId="16" borderId="6" xfId="3" applyFill="1" applyBorder="1" applyProtection="1">
      <protection hidden="1"/>
    </xf>
    <xf numFmtId="0" fontId="4" fillId="16" borderId="8" xfId="3" applyFill="1" applyBorder="1" applyAlignment="1" applyProtection="1">
      <alignment horizontal="right"/>
      <protection hidden="1"/>
    </xf>
    <xf numFmtId="0" fontId="4" fillId="16" borderId="9" xfId="3" applyFill="1" applyBorder="1" applyProtection="1">
      <protection hidden="1"/>
    </xf>
    <xf numFmtId="0" fontId="0" fillId="15" borderId="0" xfId="0" applyFill="1" applyAlignment="1" applyProtection="1">
      <alignment horizontal="right"/>
      <protection hidden="1"/>
    </xf>
    <xf numFmtId="0" fontId="14" fillId="15" borderId="0" xfId="0" applyFont="1" applyFill="1" applyProtection="1">
      <protection hidden="1"/>
    </xf>
    <xf numFmtId="0" fontId="34" fillId="16" borderId="0" xfId="0" applyFont="1" applyFill="1" applyProtection="1">
      <protection hidden="1"/>
    </xf>
    <xf numFmtId="0" fontId="0" fillId="7" borderId="24" xfId="0" applyFill="1" applyBorder="1" applyProtection="1">
      <protection locked="0" hidden="1"/>
    </xf>
    <xf numFmtId="0" fontId="0" fillId="7" borderId="25" xfId="0" applyFill="1" applyBorder="1" applyProtection="1">
      <protection locked="0" hidden="1"/>
    </xf>
    <xf numFmtId="2" fontId="0" fillId="16" borderId="25" xfId="0" applyNumberFormat="1" applyFill="1" applyBorder="1" applyProtection="1">
      <protection hidden="1"/>
    </xf>
    <xf numFmtId="0" fontId="0" fillId="16" borderId="25" xfId="0" applyFill="1" applyBorder="1" applyProtection="1">
      <protection hidden="1"/>
    </xf>
    <xf numFmtId="164" fontId="0" fillId="0" borderId="25" xfId="0" applyNumberFormat="1" applyBorder="1" applyProtection="1">
      <protection hidden="1"/>
    </xf>
    <xf numFmtId="2" fontId="0" fillId="0" borderId="26" xfId="0" applyNumberFormat="1" applyBorder="1" applyProtection="1">
      <protection hidden="1"/>
    </xf>
    <xf numFmtId="1" fontId="0" fillId="16" borderId="25" xfId="0" applyNumberFormat="1" applyFill="1" applyBorder="1" applyProtection="1">
      <protection hidden="1"/>
    </xf>
    <xf numFmtId="2" fontId="0" fillId="16" borderId="26" xfId="0" applyNumberFormat="1" applyFill="1" applyBorder="1" applyProtection="1">
      <protection hidden="1"/>
    </xf>
    <xf numFmtId="0" fontId="0" fillId="7" borderId="26" xfId="0" applyFill="1" applyBorder="1" applyProtection="1">
      <protection locked="0" hidden="1"/>
    </xf>
    <xf numFmtId="2" fontId="0" fillId="0" borderId="25" xfId="0" applyNumberFormat="1" applyBorder="1" applyProtection="1">
      <protection hidden="1"/>
    </xf>
    <xf numFmtId="2" fontId="0" fillId="0" borderId="24" xfId="0" applyNumberFormat="1" applyBorder="1" applyProtection="1">
      <protection hidden="1"/>
    </xf>
    <xf numFmtId="1" fontId="0" fillId="0" borderId="26" xfId="0" applyNumberFormat="1" applyBorder="1" applyProtection="1">
      <protection hidden="1"/>
    </xf>
    <xf numFmtId="0" fontId="0" fillId="7" borderId="24" xfId="0" applyFill="1" applyBorder="1" applyAlignment="1" applyProtection="1">
      <alignment vertical="top"/>
      <protection hidden="1"/>
    </xf>
    <xf numFmtId="0" fontId="0" fillId="0" borderId="25" xfId="0" applyBorder="1" applyAlignment="1" applyProtection="1">
      <alignment vertical="top"/>
      <protection hidden="1"/>
    </xf>
    <xf numFmtId="0" fontId="0" fillId="16" borderId="25" xfId="0" applyFill="1" applyBorder="1" applyAlignment="1" applyProtection="1">
      <alignment horizontal="center"/>
      <protection hidden="1"/>
    </xf>
    <xf numFmtId="1" fontId="0" fillId="16" borderId="7" xfId="0" applyNumberFormat="1" applyFill="1" applyBorder="1" applyProtection="1">
      <protection hidden="1"/>
    </xf>
    <xf numFmtId="0" fontId="0" fillId="7" borderId="23" xfId="0" applyFill="1" applyBorder="1" applyProtection="1">
      <protection locked="0" hidden="1"/>
    </xf>
    <xf numFmtId="2" fontId="0" fillId="16" borderId="10" xfId="0" applyNumberFormat="1" applyFill="1" applyBorder="1" applyProtection="1">
      <protection hidden="1"/>
    </xf>
    <xf numFmtId="0" fontId="0" fillId="0" borderId="24" xfId="0" applyBorder="1" applyProtection="1">
      <protection hidden="1"/>
    </xf>
    <xf numFmtId="0" fontId="16" fillId="16" borderId="23" xfId="0" applyFont="1" applyFill="1" applyBorder="1" applyAlignment="1" applyProtection="1">
      <alignment horizontal="left"/>
      <protection hidden="1"/>
    </xf>
    <xf numFmtId="0" fontId="0" fillId="16" borderId="26" xfId="0" applyFill="1" applyBorder="1" applyAlignment="1" applyProtection="1">
      <alignment horizontal="left"/>
      <protection hidden="1"/>
    </xf>
    <xf numFmtId="48" fontId="0" fillId="0" borderId="0" xfId="0" applyNumberFormat="1"/>
    <xf numFmtId="0" fontId="0" fillId="7" borderId="26" xfId="0" applyFill="1" applyBorder="1" applyAlignment="1" applyProtection="1">
      <alignment horizontal="right"/>
      <protection locked="0" hidden="1"/>
    </xf>
    <xf numFmtId="0" fontId="3" fillId="3" borderId="0" xfId="3" applyFont="1" applyFill="1" applyAlignment="1">
      <alignment horizontal="right"/>
    </xf>
    <xf numFmtId="2" fontId="0" fillId="9" borderId="0" xfId="0" applyNumberFormat="1" applyFill="1" applyAlignment="1">
      <alignment horizontal="right"/>
    </xf>
    <xf numFmtId="168" fontId="0" fillId="16" borderId="10" xfId="0" applyNumberFormat="1" applyFill="1" applyBorder="1" applyProtection="1">
      <protection hidden="1"/>
    </xf>
    <xf numFmtId="1" fontId="0" fillId="16" borderId="26" xfId="0" applyNumberFormat="1" applyFill="1" applyBorder="1" applyProtection="1">
      <protection hidden="1"/>
    </xf>
    <xf numFmtId="4" fontId="0" fillId="16" borderId="25" xfId="0" applyNumberFormat="1" applyFill="1" applyBorder="1" applyProtection="1">
      <protection hidden="1"/>
    </xf>
    <xf numFmtId="0" fontId="36" fillId="0" borderId="0" xfId="0" applyFont="1"/>
    <xf numFmtId="0" fontId="37" fillId="0" borderId="0" xfId="0" applyFont="1" applyAlignment="1">
      <alignment horizontal="center"/>
    </xf>
    <xf numFmtId="0" fontId="37" fillId="0" borderId="0" xfId="0" applyFont="1" applyAlignment="1">
      <alignment horizontal="left"/>
    </xf>
    <xf numFmtId="0" fontId="38" fillId="0" borderId="0" xfId="0" applyFont="1"/>
    <xf numFmtId="0" fontId="39" fillId="0" borderId="0" xfId="8" applyFont="1" applyFill="1" applyBorder="1" applyAlignment="1">
      <alignment vertical="center"/>
    </xf>
    <xf numFmtId="0" fontId="39" fillId="0" borderId="0" xfId="8" applyFont="1" applyFill="1" applyBorder="1" applyAlignment="1">
      <alignment horizontal="right" vertical="center"/>
    </xf>
    <xf numFmtId="0" fontId="36" fillId="0" borderId="0" xfId="0" applyFont="1" applyAlignment="1">
      <alignment horizontal="center"/>
    </xf>
    <xf numFmtId="0" fontId="36" fillId="0" borderId="0" xfId="0" applyFont="1" applyAlignment="1">
      <alignment horizontal="left"/>
    </xf>
    <xf numFmtId="0" fontId="38" fillId="0" borderId="0" xfId="0" applyFont="1" applyAlignment="1">
      <alignment horizontal="center"/>
    </xf>
    <xf numFmtId="0" fontId="3" fillId="0" borderId="0" xfId="0" applyFont="1"/>
    <xf numFmtId="0" fontId="40" fillId="17" borderId="0" xfId="0" applyFont="1" applyFill="1" applyAlignment="1">
      <alignment horizontal="center"/>
    </xf>
    <xf numFmtId="0" fontId="41" fillId="0" borderId="0" xfId="8" applyFont="1" applyFill="1" applyBorder="1" applyAlignment="1">
      <alignment vertical="center"/>
    </xf>
    <xf numFmtId="49" fontId="38" fillId="0" borderId="0" xfId="0" applyNumberFormat="1" applyFont="1" applyAlignment="1">
      <alignment horizontal="center"/>
    </xf>
    <xf numFmtId="49" fontId="37" fillId="0" borderId="0" xfId="0" applyNumberFormat="1" applyFont="1" applyAlignment="1">
      <alignment horizontal="left"/>
    </xf>
    <xf numFmtId="0" fontId="5" fillId="0" borderId="0" xfId="3" applyFont="1" applyAlignment="1" applyProtection="1">
      <alignment horizontal="center"/>
      <protection hidden="1"/>
    </xf>
    <xf numFmtId="0" fontId="5" fillId="3" borderId="0" xfId="3" applyFont="1" applyFill="1" applyAlignment="1" applyProtection="1">
      <alignment horizontal="center"/>
      <protection hidden="1"/>
    </xf>
    <xf numFmtId="0" fontId="4" fillId="0" borderId="0" xfId="3" applyProtection="1">
      <protection hidden="1"/>
    </xf>
    <xf numFmtId="0" fontId="5" fillId="4" borderId="0" xfId="3" applyFont="1" applyFill="1" applyAlignment="1" applyProtection="1">
      <alignment horizontal="center"/>
      <protection hidden="1"/>
    </xf>
    <xf numFmtId="0" fontId="5" fillId="0" borderId="0" xfId="3" applyFont="1" applyAlignment="1" applyProtection="1">
      <alignment horizontal="right"/>
      <protection hidden="1"/>
    </xf>
    <xf numFmtId="0" fontId="4" fillId="0" borderId="0" xfId="3" applyAlignment="1" applyProtection="1">
      <alignment horizontal="center"/>
      <protection hidden="1"/>
    </xf>
    <xf numFmtId="0" fontId="5" fillId="0" borderId="0" xfId="3" applyFont="1" applyAlignment="1" applyProtection="1">
      <alignment horizontal="left"/>
      <protection hidden="1"/>
    </xf>
    <xf numFmtId="0" fontId="5" fillId="5" borderId="0" xfId="3" applyFont="1" applyFill="1" applyAlignment="1" applyProtection="1">
      <alignment horizontal="center"/>
      <protection hidden="1"/>
    </xf>
    <xf numFmtId="0" fontId="0" fillId="0" borderId="10" xfId="0" applyBorder="1" applyProtection="1">
      <protection hidden="1"/>
    </xf>
    <xf numFmtId="0" fontId="0" fillId="0" borderId="12" xfId="0" applyBorder="1" applyProtection="1">
      <protection hidden="1"/>
    </xf>
    <xf numFmtId="0" fontId="0" fillId="0" borderId="5" xfId="0" applyBorder="1" applyProtection="1">
      <protection hidden="1"/>
    </xf>
    <xf numFmtId="0" fontId="0" fillId="0" borderId="6" xfId="0" applyBorder="1" applyProtection="1">
      <protection hidden="1"/>
    </xf>
    <xf numFmtId="0" fontId="5" fillId="0" borderId="0" xfId="3" applyFont="1" applyProtection="1">
      <protection hidden="1"/>
    </xf>
    <xf numFmtId="0" fontId="4" fillId="0" borderId="5" xfId="3" applyBorder="1" applyProtection="1">
      <protection hidden="1"/>
    </xf>
    <xf numFmtId="0" fontId="4" fillId="0" borderId="6" xfId="3" applyBorder="1" applyProtection="1">
      <protection hidden="1"/>
    </xf>
    <xf numFmtId="164" fontId="4" fillId="0" borderId="11" xfId="3" applyNumberFormat="1" applyBorder="1" applyProtection="1">
      <protection hidden="1"/>
    </xf>
    <xf numFmtId="0" fontId="4" fillId="0" borderId="11" xfId="3" applyBorder="1" applyProtection="1">
      <protection hidden="1"/>
    </xf>
    <xf numFmtId="0" fontId="0" fillId="0" borderId="11" xfId="0" applyBorder="1" applyProtection="1">
      <protection hidden="1"/>
    </xf>
    <xf numFmtId="0" fontId="4" fillId="0" borderId="10" xfId="3" applyBorder="1" applyProtection="1">
      <protection hidden="1"/>
    </xf>
    <xf numFmtId="164" fontId="0" fillId="0" borderId="11" xfId="0" applyNumberFormat="1" applyBorder="1" applyProtection="1">
      <protection hidden="1"/>
    </xf>
    <xf numFmtId="0" fontId="26" fillId="0" borderId="0" xfId="3" applyFont="1" applyProtection="1">
      <protection hidden="1"/>
    </xf>
    <xf numFmtId="0" fontId="0" fillId="0" borderId="2" xfId="0" applyBorder="1" applyProtection="1">
      <protection hidden="1"/>
    </xf>
    <xf numFmtId="1" fontId="0" fillId="0" borderId="4" xfId="0" applyNumberFormat="1" applyBorder="1" applyProtection="1">
      <protection hidden="1"/>
    </xf>
    <xf numFmtId="164" fontId="4" fillId="0" borderId="3" xfId="3" applyNumberFormat="1" applyBorder="1" applyProtection="1">
      <protection hidden="1"/>
    </xf>
    <xf numFmtId="0" fontId="4" fillId="0" borderId="3" xfId="3" applyBorder="1" applyProtection="1">
      <protection hidden="1"/>
    </xf>
    <xf numFmtId="0" fontId="0" fillId="0" borderId="3" xfId="0" applyBorder="1" applyProtection="1">
      <protection hidden="1"/>
    </xf>
    <xf numFmtId="0" fontId="4" fillId="0" borderId="2" xfId="3" applyBorder="1" applyProtection="1">
      <protection hidden="1"/>
    </xf>
    <xf numFmtId="164" fontId="0" fillId="0" borderId="3" xfId="0" applyNumberFormat="1" applyBorder="1" applyProtection="1">
      <protection hidden="1"/>
    </xf>
    <xf numFmtId="0" fontId="0" fillId="0" borderId="4" xfId="0" applyBorder="1" applyProtection="1">
      <protection hidden="1"/>
    </xf>
    <xf numFmtId="0" fontId="0" fillId="10" borderId="0" xfId="0" applyFill="1" applyProtection="1">
      <protection hidden="1"/>
    </xf>
    <xf numFmtId="1" fontId="0" fillId="0" borderId="6" xfId="0" applyNumberFormat="1" applyBorder="1" applyProtection="1">
      <protection hidden="1"/>
    </xf>
    <xf numFmtId="164" fontId="4" fillId="0" borderId="0" xfId="3" applyNumberFormat="1" applyProtection="1">
      <protection hidden="1"/>
    </xf>
    <xf numFmtId="164" fontId="0" fillId="0" borderId="0" xfId="0" applyNumberFormat="1" applyProtection="1">
      <protection hidden="1"/>
    </xf>
    <xf numFmtId="0" fontId="0" fillId="0" borderId="7" xfId="0" applyBorder="1" applyProtection="1">
      <protection hidden="1"/>
    </xf>
    <xf numFmtId="1" fontId="0" fillId="0" borderId="9" xfId="0" applyNumberFormat="1" applyBorder="1" applyProtection="1">
      <protection hidden="1"/>
    </xf>
    <xf numFmtId="164" fontId="4" fillId="0" borderId="8" xfId="3" applyNumberFormat="1" applyBorder="1" applyProtection="1">
      <protection hidden="1"/>
    </xf>
    <xf numFmtId="0" fontId="4" fillId="0" borderId="8" xfId="3" applyBorder="1" applyProtection="1">
      <protection hidden="1"/>
    </xf>
    <xf numFmtId="0" fontId="0" fillId="0" borderId="8" xfId="0" applyBorder="1" applyProtection="1">
      <protection hidden="1"/>
    </xf>
    <xf numFmtId="0" fontId="4" fillId="0" borderId="7" xfId="3" applyBorder="1" applyProtection="1">
      <protection hidden="1"/>
    </xf>
    <xf numFmtId="164" fontId="0" fillId="0" borderId="8" xfId="0" applyNumberFormat="1" applyBorder="1" applyProtection="1">
      <protection hidden="1"/>
    </xf>
    <xf numFmtId="0" fontId="0" fillId="0" borderId="9" xfId="0" applyBorder="1" applyProtection="1">
      <protection hidden="1"/>
    </xf>
    <xf numFmtId="2" fontId="0" fillId="0" borderId="0" xfId="0" applyNumberFormat="1" applyProtection="1">
      <protection hidden="1"/>
    </xf>
    <xf numFmtId="0" fontId="25" fillId="0" borderId="0" xfId="0" applyFont="1" applyProtection="1">
      <protection hidden="1"/>
    </xf>
    <xf numFmtId="2" fontId="0" fillId="0" borderId="10" xfId="0" applyNumberFormat="1" applyBorder="1" applyProtection="1">
      <protection hidden="1"/>
    </xf>
    <xf numFmtId="2" fontId="0" fillId="0" borderId="5" xfId="0" applyNumberFormat="1" applyBorder="1" applyProtection="1">
      <protection hidden="1"/>
    </xf>
    <xf numFmtId="2" fontId="0" fillId="0" borderId="7" xfId="0" applyNumberFormat="1" applyBorder="1" applyProtection="1">
      <protection hidden="1"/>
    </xf>
    <xf numFmtId="0" fontId="4" fillId="0" borderId="9" xfId="3" applyBorder="1" applyProtection="1">
      <protection hidden="1"/>
    </xf>
    <xf numFmtId="0" fontId="0" fillId="12" borderId="0" xfId="0" applyFill="1" applyProtection="1">
      <protection hidden="1"/>
    </xf>
    <xf numFmtId="0" fontId="16" fillId="0" borderId="0" xfId="0" applyFont="1" applyProtection="1">
      <protection hidden="1"/>
    </xf>
    <xf numFmtId="0" fontId="0" fillId="11" borderId="0" xfId="0" applyFill="1" applyProtection="1">
      <protection hidden="1"/>
    </xf>
    <xf numFmtId="164" fontId="0" fillId="9" borderId="0" xfId="0" applyNumberFormat="1" applyFill="1" applyProtection="1">
      <protection hidden="1"/>
    </xf>
    <xf numFmtId="1" fontId="0" fillId="9" borderId="0" xfId="0" applyNumberFormat="1" applyFill="1" applyProtection="1">
      <protection hidden="1"/>
    </xf>
    <xf numFmtId="2" fontId="0" fillId="9" borderId="0" xfId="0" applyNumberFormat="1" applyFill="1" applyProtection="1">
      <protection hidden="1"/>
    </xf>
    <xf numFmtId="0" fontId="0" fillId="9" borderId="0" xfId="0" applyFill="1" applyProtection="1">
      <protection hidden="1"/>
    </xf>
    <xf numFmtId="0" fontId="24" fillId="0" borderId="0" xfId="0" applyFont="1" applyProtection="1">
      <protection hidden="1"/>
    </xf>
    <xf numFmtId="0" fontId="0" fillId="19" borderId="0" xfId="0" applyFill="1"/>
    <xf numFmtId="0" fontId="0" fillId="0" borderId="5" xfId="0" applyBorder="1"/>
    <xf numFmtId="0" fontId="5" fillId="0" borderId="0" xfId="0" applyFont="1"/>
    <xf numFmtId="2" fontId="3" fillId="0" borderId="0" xfId="0" quotePrefix="1" applyNumberFormat="1" applyFont="1"/>
    <xf numFmtId="0" fontId="0" fillId="0" borderId="0" xfId="0" applyAlignment="1">
      <alignment horizontal="left"/>
    </xf>
    <xf numFmtId="0" fontId="5" fillId="0" borderId="0" xfId="0" applyFont="1" applyAlignment="1">
      <alignment horizontal="left"/>
    </xf>
    <xf numFmtId="164" fontId="0" fillId="0" borderId="26" xfId="0" applyNumberFormat="1" applyBorder="1" applyAlignment="1" applyProtection="1">
      <alignment horizontal="right"/>
      <protection hidden="1"/>
    </xf>
    <xf numFmtId="168" fontId="0" fillId="16" borderId="25" xfId="0" applyNumberFormat="1" applyFill="1" applyBorder="1" applyProtection="1">
      <protection hidden="1"/>
    </xf>
    <xf numFmtId="0" fontId="0" fillId="0" borderId="27" xfId="0" applyBorder="1"/>
    <xf numFmtId="0" fontId="0" fillId="0" borderId="28" xfId="0" applyBorder="1"/>
    <xf numFmtId="0" fontId="0" fillId="0" borderId="24" xfId="0" applyBorder="1"/>
    <xf numFmtId="0" fontId="4" fillId="0" borderId="25" xfId="3" applyBorder="1"/>
    <xf numFmtId="2" fontId="4" fillId="0" borderId="25" xfId="3" applyNumberFormat="1" applyBorder="1" applyAlignment="1">
      <alignment horizontal="center"/>
    </xf>
    <xf numFmtId="0" fontId="38" fillId="0" borderId="0" xfId="0" applyFont="1" applyAlignment="1">
      <alignment wrapText="1"/>
    </xf>
    <xf numFmtId="48" fontId="0" fillId="9" borderId="0" xfId="0" applyNumberFormat="1" applyFill="1"/>
    <xf numFmtId="9" fontId="0" fillId="7" borderId="25" xfId="0" applyNumberFormat="1" applyFill="1" applyBorder="1" applyProtection="1">
      <protection locked="0" hidden="1"/>
    </xf>
    <xf numFmtId="0" fontId="35" fillId="8" borderId="0" xfId="8" applyFill="1" applyBorder="1" applyAlignment="1" applyProtection="1">
      <alignment horizontal="center"/>
      <protection hidden="1"/>
    </xf>
    <xf numFmtId="0" fontId="6" fillId="2" borderId="0" xfId="3" applyFont="1" applyFill="1" applyAlignment="1">
      <alignment horizontal="center"/>
    </xf>
    <xf numFmtId="0" fontId="5" fillId="0" borderId="0" xfId="3" applyFont="1" applyAlignment="1">
      <alignment horizontal="center"/>
    </xf>
    <xf numFmtId="0" fontId="0" fillId="0" borderId="20"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5" xfId="0" applyBorder="1" applyAlignment="1" applyProtection="1">
      <alignment horizontal="center"/>
      <protection hidden="1"/>
    </xf>
    <xf numFmtId="0" fontId="0" fillId="0" borderId="0" xfId="0" applyAlignment="1" applyProtection="1">
      <alignment horizontal="center"/>
      <protection hidden="1"/>
    </xf>
    <xf numFmtId="0" fontId="0" fillId="0" borderId="6" xfId="0" applyBorder="1" applyAlignment="1" applyProtection="1">
      <alignment horizontal="center"/>
      <protection hidden="1"/>
    </xf>
    <xf numFmtId="0" fontId="22" fillId="0" borderId="10" xfId="0" applyFont="1" applyBorder="1" applyAlignment="1" applyProtection="1">
      <alignment horizontal="center"/>
      <protection hidden="1"/>
    </xf>
    <xf numFmtId="0" fontId="22" fillId="0" borderId="11" xfId="0" applyFont="1" applyBorder="1" applyAlignment="1" applyProtection="1">
      <alignment horizontal="center"/>
      <protection hidden="1"/>
    </xf>
    <xf numFmtId="0" fontId="22" fillId="0" borderId="12" xfId="0" applyFont="1" applyBorder="1" applyAlignment="1" applyProtection="1">
      <alignment horizontal="center"/>
      <protection hidden="1"/>
    </xf>
    <xf numFmtId="0" fontId="4" fillId="0" borderId="0" xfId="3" applyAlignment="1" applyProtection="1">
      <alignment horizontal="center"/>
      <protection hidden="1"/>
    </xf>
    <xf numFmtId="0" fontId="6" fillId="2" borderId="0" xfId="3" applyFont="1" applyFill="1" applyAlignment="1" applyProtection="1">
      <alignment horizontal="center"/>
      <protection hidden="1"/>
    </xf>
    <xf numFmtId="0" fontId="5" fillId="0" borderId="0" xfId="3" applyFont="1" applyAlignment="1" applyProtection="1">
      <alignment horizontal="center"/>
      <protection hidden="1"/>
    </xf>
    <xf numFmtId="0" fontId="36" fillId="0" borderId="0" xfId="0" applyFont="1" applyAlignment="1">
      <alignment horizontal="center"/>
    </xf>
    <xf numFmtId="0" fontId="36" fillId="18" borderId="0" xfId="0" applyFont="1" applyFill="1" applyAlignment="1">
      <alignment horizontal="center"/>
    </xf>
    <xf numFmtId="0" fontId="40" fillId="17" borderId="0" xfId="0" applyFont="1" applyFill="1" applyAlignment="1">
      <alignment horizontal="left"/>
    </xf>
    <xf numFmtId="0" fontId="38" fillId="0" borderId="0" xfId="0" applyFont="1" applyAlignment="1">
      <alignment horizontal="left"/>
    </xf>
    <xf numFmtId="0" fontId="38" fillId="0" borderId="0" xfId="0" applyFont="1" applyAlignment="1">
      <alignment wrapText="1"/>
    </xf>
  </cellXfs>
  <cellStyles count="9">
    <cellStyle name="Comma 2" xfId="5" xr:uid="{00000000-0005-0000-0000-000000000000}"/>
    <cellStyle name="Comma 3" xfId="2" xr:uid="{00000000-0005-0000-0000-000001000000}"/>
    <cellStyle name="Hyperlink" xfId="8" builtinId="8"/>
    <cellStyle name="Normal" xfId="0" builtinId="0"/>
    <cellStyle name="Normal 2" xfId="3" xr:uid="{00000000-0005-0000-0000-000003000000}"/>
    <cellStyle name="Normal 3" xfId="4" xr:uid="{00000000-0005-0000-0000-000004000000}"/>
    <cellStyle name="Normal 4" xfId="1" xr:uid="{00000000-0005-0000-0000-000005000000}"/>
    <cellStyle name="Normal 4 2" xfId="7" xr:uid="{00000000-0005-0000-0000-000006000000}"/>
    <cellStyle name="Normal 4 3" xfId="6" xr:uid="{00000000-0005-0000-0000-000007000000}"/>
  </cellStyles>
  <dxfs count="11">
    <dxf>
      <fill>
        <patternFill>
          <bgColor rgb="FFFF0000"/>
        </patternFill>
      </fill>
    </dxf>
    <dxf>
      <fill>
        <patternFill>
          <bgColor rgb="FFFF0000"/>
        </patternFill>
      </fill>
    </dxf>
    <dxf>
      <font>
        <color rgb="FFC00000"/>
      </font>
      <fill>
        <patternFill>
          <bgColor theme="5" tint="0.59996337778862885"/>
        </patternFill>
      </fill>
    </dxf>
    <dxf>
      <font>
        <color rgb="FF9C0006"/>
      </font>
      <fill>
        <patternFill>
          <bgColor rgb="FFFFC7CE"/>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ont>
        <color auto="1"/>
      </font>
      <fill>
        <patternFill>
          <bgColor rgb="FFFFC000"/>
        </patternFill>
      </fill>
    </dxf>
    <dxf>
      <fill>
        <patternFill>
          <bgColor rgb="FFFF0000"/>
        </patternFill>
      </fill>
    </dxf>
  </dxfs>
  <tableStyles count="0" defaultTableStyle="TableStyleMedium2" defaultPivotStyle="PivotStyleLight16"/>
  <colors>
    <mruColors>
      <color rgb="FF9C0006"/>
      <color rgb="FFFFC7CE"/>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baseline="0"/>
              <a:t>Bode Plot</a:t>
            </a:r>
          </a:p>
        </c:rich>
      </c:tx>
      <c:layout>
        <c:manualLayout>
          <c:xMode val="edge"/>
          <c:yMode val="edge"/>
          <c:x val="9.4354157174953393E-2"/>
          <c:y val="3.9916010498687662E-3"/>
        </c:manualLayout>
      </c:layout>
      <c:overlay val="0"/>
    </c:title>
    <c:autoTitleDeleted val="0"/>
    <c:plotArea>
      <c:layout>
        <c:manualLayout>
          <c:layoutTarget val="inner"/>
          <c:xMode val="edge"/>
          <c:yMode val="edge"/>
          <c:x val="9.0594052720499751E-2"/>
          <c:y val="8.9158108013693851E-2"/>
          <c:w val="0.80965876742891785"/>
          <c:h val="0.76159168715027026"/>
        </c:manualLayout>
      </c:layout>
      <c:scatterChart>
        <c:scatterStyle val="smoothMarker"/>
        <c:varyColors val="0"/>
        <c:ser>
          <c:idx val="0"/>
          <c:order val="0"/>
          <c:tx>
            <c:v>Gain (dB)</c:v>
          </c:tx>
          <c:spPr>
            <a:ln w="28575">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Loop_Modeling!$AT$19:$AT$560</c:f>
              <c:numCache>
                <c:formatCode>0.000</c:formatCode>
                <c:ptCount val="542"/>
                <c:pt idx="0">
                  <c:v>53.923572287798542</c:v>
                </c:pt>
                <c:pt idx="1">
                  <c:v>53.601820999731373</c:v>
                </c:pt>
                <c:pt idx="2">
                  <c:v>53.282271434063745</c:v>
                </c:pt>
                <c:pt idx="3">
                  <c:v>52.9649436519312</c:v>
                </c:pt>
                <c:pt idx="4">
                  <c:v>52.649855595106075</c:v>
                </c:pt>
                <c:pt idx="5">
                  <c:v>52.337023013974147</c:v>
                </c:pt>
                <c:pt idx="6">
                  <c:v>52.026459403624692</c:v>
                </c:pt>
                <c:pt idx="7">
                  <c:v>51.718175948605932</c:v>
                </c:pt>
                <c:pt idx="8">
                  <c:v>51.412181476826376</c:v>
                </c:pt>
                <c:pt idx="9">
                  <c:v>51.108482423009825</c:v>
                </c:pt>
                <c:pt idx="10">
                  <c:v>50.807082802028432</c:v>
                </c:pt>
                <c:pt idx="11">
                  <c:v>50.507984192354257</c:v>
                </c:pt>
                <c:pt idx="12">
                  <c:v>50.211185729779402</c:v>
                </c:pt>
                <c:pt idx="13">
                  <c:v>49.91668411146162</c:v>
                </c:pt>
                <c:pt idx="14">
                  <c:v>49.624473610261866</c:v>
                </c:pt>
                <c:pt idx="15">
                  <c:v>49.334546099244825</c:v>
                </c:pt>
                <c:pt idx="16">
                  <c:v>49.046891086126706</c:v>
                </c:pt>
                <c:pt idx="17">
                  <c:v>48.761495757363861</c:v>
                </c:pt>
                <c:pt idx="18">
                  <c:v>48.478345031496779</c:v>
                </c:pt>
                <c:pt idx="19">
                  <c:v>48.197421621284022</c:v>
                </c:pt>
                <c:pt idx="20">
                  <c:v>47.918706104094696</c:v>
                </c:pt>
                <c:pt idx="21">
                  <c:v>47.642176999962246</c:v>
                </c:pt>
                <c:pt idx="22">
                  <c:v>47.367810856652184</c:v>
                </c:pt>
                <c:pt idx="23">
                  <c:v>47.095582341049571</c:v>
                </c:pt>
                <c:pt idx="24">
                  <c:v>46.825464336138396</c:v>
                </c:pt>
                <c:pt idx="25">
                  <c:v>46.55742804281897</c:v>
                </c:pt>
                <c:pt idx="26">
                  <c:v>46.291443085794448</c:v>
                </c:pt>
                <c:pt idx="27">
                  <c:v>46.027477622749721</c:v>
                </c:pt>
                <c:pt idx="28">
                  <c:v>45.765498456048533</c:v>
                </c:pt>
                <c:pt idx="29">
                  <c:v>45.505471146189834</c:v>
                </c:pt>
                <c:pt idx="30">
                  <c:v>45.247360126275368</c:v>
                </c:pt>
                <c:pt idx="31">
                  <c:v>44.991128816775927</c:v>
                </c:pt>
                <c:pt idx="32">
                  <c:v>44.736739739909417</c:v>
                </c:pt>
                <c:pt idx="33">
                  <c:v>44.484154632985657</c:v>
                </c:pt>
                <c:pt idx="34">
                  <c:v>44.233334560116063</c:v>
                </c:pt>
                <c:pt idx="35">
                  <c:v>43.984240021729455</c:v>
                </c:pt>
                <c:pt idx="36">
                  <c:v>43.736831061390149</c:v>
                </c:pt>
                <c:pt idx="37">
                  <c:v>43.491067369461277</c:v>
                </c:pt>
                <c:pt idx="38">
                  <c:v>43.24690838321164</c:v>
                </c:pt>
                <c:pt idx="39">
                  <c:v>43.004313383017632</c:v>
                </c:pt>
                <c:pt idx="40">
                  <c:v>42.763241584361182</c:v>
                </c:pt>
                <c:pt idx="41">
                  <c:v>42.523652225382193</c:v>
                </c:pt>
                <c:pt idx="42">
                  <c:v>42.28550464978774</c:v>
                </c:pt>
                <c:pt idx="43">
                  <c:v>42.048758384972551</c:v>
                </c:pt>
                <c:pt idx="44">
                  <c:v>41.813373215249655</c:v>
                </c:pt>
                <c:pt idx="45">
                  <c:v>41.579309250131956</c:v>
                </c:pt>
                <c:pt idx="46">
                  <c:v>41.346526987647003</c:v>
                </c:pt>
                <c:pt idx="47">
                  <c:v>41.11498737270044</c:v>
                </c:pt>
                <c:pt idx="48">
                  <c:v>40.884651850540934</c:v>
                </c:pt>
                <c:pt idx="49">
                  <c:v>40.655482415405373</c:v>
                </c:pt>
                <c:pt idx="50">
                  <c:v>40.42744165444973</c:v>
                </c:pt>
                <c:pt idx="51">
                  <c:v>40.200492787097346</c:v>
                </c:pt>
                <c:pt idx="52">
                  <c:v>39.974599699949536</c:v>
                </c:pt>
                <c:pt idx="53">
                  <c:v>39.749726977426285</c:v>
                </c:pt>
                <c:pt idx="54">
                  <c:v>39.525839928313992</c:v>
                </c:pt>
                <c:pt idx="55">
                  <c:v>39.302904608408873</c:v>
                </c:pt>
                <c:pt idx="56">
                  <c:v>39.080887839453055</c:v>
                </c:pt>
                <c:pt idx="57">
                  <c:v>38.859757224566081</c:v>
                </c:pt>
                <c:pt idx="58">
                  <c:v>38.639481160376306</c:v>
                </c:pt>
                <c:pt idx="59">
                  <c:v>38.420028846059665</c:v>
                </c:pt>
                <c:pt idx="60">
                  <c:v>38.20137028949302</c:v>
                </c:pt>
                <c:pt idx="61">
                  <c:v>37.983476310724541</c:v>
                </c:pt>
                <c:pt idx="62">
                  <c:v>37.7663185429642</c:v>
                </c:pt>
                <c:pt idx="63">
                  <c:v>37.549869431290489</c:v>
                </c:pt>
                <c:pt idx="64">
                  <c:v>37.334102229263308</c:v>
                </c:pt>
                <c:pt idx="65">
                  <c:v>37.118990993628806</c:v>
                </c:pt>
                <c:pt idx="66">
                  <c:v>36.904510577293834</c:v>
                </c:pt>
                <c:pt idx="67">
                  <c:v>36.690636620739454</c:v>
                </c:pt>
                <c:pt idx="68">
                  <c:v>36.477345542036474</c:v>
                </c:pt>
                <c:pt idx="69">
                  <c:v>36.264614525616132</c:v>
                </c:pt>
                <c:pt idx="70">
                  <c:v>36.052421509942882</c:v>
                </c:pt>
                <c:pt idx="71">
                  <c:v>35.840745174224978</c:v>
                </c:pt>
                <c:pt idx="72">
                  <c:v>35.629564924292659</c:v>
                </c:pt>
                <c:pt idx="73">
                  <c:v>35.418860877764459</c:v>
                </c:pt>
                <c:pt idx="74">
                  <c:v>35.20861384861275</c:v>
                </c:pt>
                <c:pt idx="75">
                  <c:v>34.998805331233669</c:v>
                </c:pt>
                <c:pt idx="76">
                  <c:v>34.789417484117607</c:v>
                </c:pt>
                <c:pt idx="77">
                  <c:v>34.580433113208805</c:v>
                </c:pt>
                <c:pt idx="78">
                  <c:v>34.371835655035817</c:v>
                </c:pt>
                <c:pt idx="79">
                  <c:v>34.163609159687468</c:v>
                </c:pt>
                <c:pt idx="80">
                  <c:v>33.955738273702138</c:v>
                </c:pt>
                <c:pt idx="81">
                  <c:v>33.748208222932263</c:v>
                </c:pt>
                <c:pt idx="82">
                  <c:v>33.541004795439903</c:v>
                </c:pt>
                <c:pt idx="83">
                  <c:v>33.334114324473354</c:v>
                </c:pt>
                <c:pt idx="84">
                  <c:v>33.12752367157016</c:v>
                </c:pt>
                <c:pt idx="85">
                  <c:v>32.921220209825591</c:v>
                </c:pt>
                <c:pt idx="86">
                  <c:v>32.715191807362935</c:v>
                </c:pt>
                <c:pt idx="87">
                  <c:v>32.509426811036882</c:v>
                </c:pt>
                <c:pt idx="88">
                  <c:v>32.303914030395603</c:v>
                </c:pt>
                <c:pt idx="89">
                  <c:v>32.098642721926808</c:v>
                </c:pt>
                <c:pt idx="90">
                  <c:v>31.893602573606771</c:v>
                </c:pt>
                <c:pt idx="91">
                  <c:v>31.688783689769672</c:v>
                </c:pt>
                <c:pt idx="92">
                  <c:v>31.484176576311231</c:v>
                </c:pt>
                <c:pt idx="93">
                  <c:v>31.279772126238129</c:v>
                </c:pt>
                <c:pt idx="94">
                  <c:v>31.075561605572169</c:v>
                </c:pt>
                <c:pt idx="95">
                  <c:v>30.871536639616618</c:v>
                </c:pt>
                <c:pt idx="96">
                  <c:v>30.667689199588825</c:v>
                </c:pt>
                <c:pt idx="97">
                  <c:v>30.464011589623247</c:v>
                </c:pt>
                <c:pt idx="98">
                  <c:v>30.260496434145672</c:v>
                </c:pt>
                <c:pt idx="99">
                  <c:v>30.057136665619314</c:v>
                </c:pt>
                <c:pt idx="100">
                  <c:v>29.853925512661206</c:v>
                </c:pt>
                <c:pt idx="101">
                  <c:v>29.650856488527495</c:v>
                </c:pt>
                <c:pt idx="102">
                  <c:v>29.447923379963061</c:v>
                </c:pt>
                <c:pt idx="103">
                  <c:v>29.245120236412721</c:v>
                </c:pt>
                <c:pt idx="104">
                  <c:v>29.042441359588075</c:v>
                </c:pt>
                <c:pt idx="105">
                  <c:v>28.839881293385162</c:v>
                </c:pt>
                <c:pt idx="106">
                  <c:v>28.637434814145635</c:v>
                </c:pt>
                <c:pt idx="107">
                  <c:v>28.435096921256861</c:v>
                </c:pt>
                <c:pt idx="108">
                  <c:v>28.23286282808192</c:v>
                </c:pt>
                <c:pt idx="109">
                  <c:v>28.030727953212708</c:v>
                </c:pt>
                <c:pt idx="110">
                  <c:v>27.828687912039225</c:v>
                </c:pt>
                <c:pt idx="111">
                  <c:v>27.6267385086263</c:v>
                </c:pt>
                <c:pt idx="112">
                  <c:v>27.424875727890552</c:v>
                </c:pt>
                <c:pt idx="113">
                  <c:v>27.223095728067669</c:v>
                </c:pt>
                <c:pt idx="114">
                  <c:v>27.021394833464747</c:v>
                </c:pt>
                <c:pt idx="115">
                  <c:v>26.819769527486791</c:v>
                </c:pt>
                <c:pt idx="116">
                  <c:v>26.618216445929683</c:v>
                </c:pt>
                <c:pt idx="117">
                  <c:v>26.416732370532895</c:v>
                </c:pt>
                <c:pt idx="118">
                  <c:v>26.215314222781686</c:v>
                </c:pt>
                <c:pt idx="119">
                  <c:v>26.013959057951567</c:v>
                </c:pt>
                <c:pt idx="120">
                  <c:v>25.81266405938802</c:v>
                </c:pt>
                <c:pt idx="121">
                  <c:v>25.611426533011365</c:v>
                </c:pt>
                <c:pt idx="122">
                  <c:v>25.410243902041131</c:v>
                </c:pt>
                <c:pt idx="123">
                  <c:v>25.209113701930516</c:v>
                </c:pt>
                <c:pt idx="124">
                  <c:v>25.00803357550534</c:v>
                </c:pt>
                <c:pt idx="125">
                  <c:v>24.807001268297782</c:v>
                </c:pt>
                <c:pt idx="126">
                  <c:v>24.606014624070262</c:v>
                </c:pt>
                <c:pt idx="127">
                  <c:v>24.405071580520442</c:v>
                </c:pt>
                <c:pt idx="128">
                  <c:v>24.204170165161205</c:v>
                </c:pt>
                <c:pt idx="129">
                  <c:v>24.003308491370206</c:v>
                </c:pt>
                <c:pt idx="130">
                  <c:v>23.802484754599647</c:v>
                </c:pt>
                <c:pt idx="131">
                  <c:v>23.601697228742864</c:v>
                </c:pt>
                <c:pt idx="132">
                  <c:v>23.400944262650171</c:v>
                </c:pt>
                <c:pt idx="133">
                  <c:v>23.20022427678844</c:v>
                </c:pt>
                <c:pt idx="134">
                  <c:v>22.999535760037567</c:v>
                </c:pt>
                <c:pt idx="135">
                  <c:v>22.798877266621037</c:v>
                </c:pt>
                <c:pt idx="136">
                  <c:v>22.598247413161438</c:v>
                </c:pt>
                <c:pt idx="137">
                  <c:v>22.397644875858912</c:v>
                </c:pt>
                <c:pt idx="138">
                  <c:v>22.19706838778519</c:v>
                </c:pt>
                <c:pt idx="139">
                  <c:v>21.99651673629058</c:v>
                </c:pt>
                <c:pt idx="140">
                  <c:v>21.79598876051681</c:v>
                </c:pt>
                <c:pt idx="141">
                  <c:v>21.595483349012468</c:v>
                </c:pt>
                <c:pt idx="142">
                  <c:v>21.394999437446959</c:v>
                </c:pt>
                <c:pt idx="143">
                  <c:v>21.194536006417831</c:v>
                </c:pt>
                <c:pt idx="144">
                  <c:v>20.994092079347631</c:v>
                </c:pt>
                <c:pt idx="145">
                  <c:v>20.793666720466639</c:v>
                </c:pt>
                <c:pt idx="146">
                  <c:v>20.59325903287742</c:v>
                </c:pt>
                <c:pt idx="147">
                  <c:v>20.392868156697247</c:v>
                </c:pt>
                <c:pt idx="148">
                  <c:v>20.192493267275601</c:v>
                </c:pt>
                <c:pt idx="149">
                  <c:v>19.992133573482182</c:v>
                </c:pt>
                <c:pt idx="150">
                  <c:v>19.791788316063418</c:v>
                </c:pt>
                <c:pt idx="151">
                  <c:v>19.591456766063118</c:v>
                </c:pt>
                <c:pt idx="152">
                  <c:v>19.391138223304718</c:v>
                </c:pt>
                <c:pt idx="153">
                  <c:v>19.190832014932194</c:v>
                </c:pt>
                <c:pt idx="154">
                  <c:v>18.990537494006713</c:v>
                </c:pt>
                <c:pt idx="155">
                  <c:v>18.790254038156249</c:v>
                </c:pt>
                <c:pt idx="156">
                  <c:v>18.589981048274815</c:v>
                </c:pt>
                <c:pt idx="157">
                  <c:v>18.389717947270277</c:v>
                </c:pt>
                <c:pt idx="158">
                  <c:v>18.1894641788565</c:v>
                </c:pt>
                <c:pt idx="159">
                  <c:v>17.989219206388562</c:v>
                </c:pt>
                <c:pt idx="160">
                  <c:v>17.788982511738443</c:v>
                </c:pt>
                <c:pt idx="161">
                  <c:v>17.588753594208267</c:v>
                </c:pt>
                <c:pt idx="162">
                  <c:v>17.388531969480063</c:v>
                </c:pt>
                <c:pt idx="163">
                  <c:v>17.188317168598903</c:v>
                </c:pt>
                <c:pt idx="164">
                  <c:v>16.988108736987989</c:v>
                </c:pt>
                <c:pt idx="165">
                  <c:v>16.787906233492972</c:v>
                </c:pt>
                <c:pt idx="166">
                  <c:v>16.587709229454699</c:v>
                </c:pt>
                <c:pt idx="167">
                  <c:v>16.387517307807016</c:v>
                </c:pt>
                <c:pt idx="168">
                  <c:v>16.187330062199162</c:v>
                </c:pt>
                <c:pt idx="169">
                  <c:v>15.987147096140182</c:v>
                </c:pt>
                <c:pt idx="170">
                  <c:v>15.786968022163364</c:v>
                </c:pt>
                <c:pt idx="171">
                  <c:v>15.586792461010184</c:v>
                </c:pt>
                <c:pt idx="172">
                  <c:v>15.386620040830284</c:v>
                </c:pt>
                <c:pt idx="173">
                  <c:v>15.186450396397591</c:v>
                </c:pt>
                <c:pt idx="174">
                  <c:v>14.986283168339867</c:v>
                </c:pt>
                <c:pt idx="175">
                  <c:v>14.78611800238019</c:v>
                </c:pt>
                <c:pt idx="176">
                  <c:v>14.585954548589253</c:v>
                </c:pt>
                <c:pt idx="177">
                  <c:v>14.385792460646767</c:v>
                </c:pt>
                <c:pt idx="178">
                  <c:v>14.185631395109858</c:v>
                </c:pt>
                <c:pt idx="179">
                  <c:v>13.985471010688054</c:v>
                </c:pt>
                <c:pt idx="180">
                  <c:v>13.785310967521799</c:v>
                </c:pt>
                <c:pt idx="181">
                  <c:v>13.58515092646517</c:v>
                </c:pt>
                <c:pt idx="182">
                  <c:v>13.384990548368528</c:v>
                </c:pt>
                <c:pt idx="183">
                  <c:v>13.184829493362248</c:v>
                </c:pt>
                <c:pt idx="184">
                  <c:v>12.984667420138496</c:v>
                </c:pt>
                <c:pt idx="185">
                  <c:v>12.784503985229739</c:v>
                </c:pt>
                <c:pt idx="186">
                  <c:v>12.584338842282815</c:v>
                </c:pt>
                <c:pt idx="187">
                  <c:v>12.384171641327249</c:v>
                </c:pt>
                <c:pt idx="188">
                  <c:v>12.184002028035199</c:v>
                </c:pt>
                <c:pt idx="189">
                  <c:v>11.983829642972958</c:v>
                </c:pt>
                <c:pt idx="190">
                  <c:v>11.783654120841319</c:v>
                </c:pt>
                <c:pt idx="191">
                  <c:v>11.583475089703764</c:v>
                </c:pt>
                <c:pt idx="192">
                  <c:v>11.383292170200436</c:v>
                </c:pt>
                <c:pt idx="193">
                  <c:v>11.183104974747216</c:v>
                </c:pt>
                <c:pt idx="194">
                  <c:v>10.982913106716577</c:v>
                </c:pt>
                <c:pt idx="195">
                  <c:v>10.782716159600438</c:v>
                </c:pt>
                <c:pt idx="196">
                  <c:v>10.582513716151439</c:v>
                </c:pt>
                <c:pt idx="197">
                  <c:v>10.382305347502765</c:v>
                </c:pt>
                <c:pt idx="198">
                  <c:v>10.182090612262495</c:v>
                </c:pt>
                <c:pt idx="199">
                  <c:v>9.9818690555824432</c:v>
                </c:pt>
                <c:pt idx="200">
                  <c:v>9.7816402081989615</c:v>
                </c:pt>
                <c:pt idx="201">
                  <c:v>9.5814035854431694</c:v>
                </c:pt>
                <c:pt idx="202">
                  <c:v>9.3811586862192939</c:v>
                </c:pt>
                <c:pt idx="203">
                  <c:v>9.1809049919483705</c:v>
                </c:pt>
                <c:pt idx="204">
                  <c:v>8.9806419654764742</c:v>
                </c:pt>
                <c:pt idx="205">
                  <c:v>8.7803690499425162</c:v>
                </c:pt>
                <c:pt idx="206">
                  <c:v>8.5800856676067472</c:v>
                </c:pt>
                <c:pt idx="207">
                  <c:v>8.3797912186346899</c:v>
                </c:pt>
                <c:pt idx="208">
                  <c:v>8.1794850798352137</c:v>
                </c:pt>
                <c:pt idx="209">
                  <c:v>7.9791666033507713</c:v>
                </c:pt>
                <c:pt idx="210">
                  <c:v>7.7788351152953883</c:v>
                </c:pt>
                <c:pt idx="211">
                  <c:v>7.5784899143394489</c:v>
                </c:pt>
                <c:pt idx="212">
                  <c:v>7.3781302702371132</c:v>
                </c:pt>
                <c:pt idx="213">
                  <c:v>7.1777554222937967</c:v>
                </c:pt>
                <c:pt idx="214">
                  <c:v>6.9773645777712545</c:v>
                </c:pt>
                <c:pt idx="215">
                  <c:v>6.7769569102256977</c:v>
                </c:pt>
                <c:pt idx="216">
                  <c:v>6.5765315577763399</c:v>
                </c:pt>
                <c:pt idx="217">
                  <c:v>6.3760876213017461</c:v>
                </c:pt>
                <c:pt idx="218">
                  <c:v>6.1756241625581465</c:v>
                </c:pt>
                <c:pt idx="219">
                  <c:v>5.97514020221805</c:v>
                </c:pt>
                <c:pt idx="220">
                  <c:v>5.7746347178245312</c:v>
                </c:pt>
                <c:pt idx="221">
                  <c:v>5.5741066416564884</c:v>
                </c:pt>
                <c:pt idx="222">
                  <c:v>5.3735548585016337</c:v>
                </c:pt>
                <c:pt idx="223">
                  <c:v>5.1729782033319189</c:v>
                </c:pt>
                <c:pt idx="224">
                  <c:v>4.9723754588777238</c:v>
                </c:pt>
                <c:pt idx="225">
                  <c:v>4.7717453530945075</c:v>
                </c:pt>
                <c:pt idx="226">
                  <c:v>4.5710865565194938</c:v>
                </c:pt>
                <c:pt idx="227">
                  <c:v>4.3703976795103046</c:v>
                </c:pt>
                <c:pt idx="228">
                  <c:v>4.1696772693621433</c:v>
                </c:pt>
                <c:pt idx="229">
                  <c:v>3.9689238072978328</c:v>
                </c:pt>
                <c:pt idx="230">
                  <c:v>3.7681357053228974</c:v>
                </c:pt>
                <c:pt idx="231">
                  <c:v>3.5673113029434922</c:v>
                </c:pt>
                <c:pt idx="232">
                  <c:v>3.3664488637361334</c:v>
                </c:pt>
                <c:pt idx="233">
                  <c:v>3.1655465717672113</c:v>
                </c:pt>
                <c:pt idx="234">
                  <c:v>2.9646025278520853</c:v>
                </c:pt>
                <c:pt idx="235">
                  <c:v>2.7636147456490523</c:v>
                </c:pt>
                <c:pt idx="236">
                  <c:v>2.5625811475793143</c:v>
                </c:pt>
                <c:pt idx="237">
                  <c:v>2.3614995605663607</c:v>
                </c:pt>
                <c:pt idx="238">
                  <c:v>2.1603677115863298</c:v>
                </c:pt>
                <c:pt idx="239">
                  <c:v>1.9591832230218347</c:v>
                </c:pt>
                <c:pt idx="240">
                  <c:v>1.7579436078098685</c:v>
                </c:pt>
                <c:pt idx="241">
                  <c:v>1.556646264375698</c:v>
                </c:pt>
                <c:pt idx="242">
                  <c:v>1.3552884713433802</c:v>
                </c:pt>
                <c:pt idx="243">
                  <c:v>1.1538673820140564</c:v>
                </c:pt>
                <c:pt idx="244">
                  <c:v>0.95238001860120303</c:v>
                </c:pt>
                <c:pt idx="245">
                  <c:v>0.75082326621346462</c:v>
                </c:pt>
                <c:pt idx="246">
                  <c:v>0.54919386657546709</c:v>
                </c:pt>
                <c:pt idx="247">
                  <c:v>0.34748841147324061</c:v>
                </c:pt>
                <c:pt idx="248">
                  <c:v>0.14570333591612716</c:v>
                </c:pt>
                <c:pt idx="249">
                  <c:v>-5.616508899749114E-2</c:v>
                </c:pt>
                <c:pt idx="250">
                  <c:v>-0.25812076352439017</c:v>
                </c:pt>
                <c:pt idx="251">
                  <c:v>-0.46016776703848739</c:v>
                </c:pt>
                <c:pt idx="252">
                  <c:v>-0.66231036612862382</c:v>
                </c:pt>
                <c:pt idx="253">
                  <c:v>-0.86455302303991444</c:v>
                </c:pt>
                <c:pt idx="254">
                  <c:v>-1.0669004044758892</c:v>
                </c:pt>
                <c:pt idx="255">
                  <c:v>-1.2693573907732532</c:v>
                </c:pt>
                <c:pt idx="256">
                  <c:v>-1.4719290854636038</c:v>
                </c:pt>
                <c:pt idx="257">
                  <c:v>-1.6746208252370094</c:v>
                </c:pt>
                <c:pt idx="258">
                  <c:v>-1.8774381903217865</c:v>
                </c:pt>
                <c:pt idx="259">
                  <c:v>-2.0803870152961883</c:v>
                </c:pt>
                <c:pt idx="260">
                  <c:v>-2.2834734003464394</c:v>
                </c:pt>
                <c:pt idx="261">
                  <c:v>-2.486703722989438</c:v>
                </c:pt>
                <c:pt idx="262">
                  <c:v>-2.6900846502730262</c:v>
                </c:pt>
                <c:pt idx="263">
                  <c:v>-2.8936231514732129</c:v>
                </c:pt>
                <c:pt idx="264">
                  <c:v>-3.0973265113041015</c:v>
                </c:pt>
                <c:pt idx="265">
                  <c:v>-3.3012023436575708</c:v>
                </c:pt>
                <c:pt idx="266">
                  <c:v>-3.5052586058906829</c:v>
                </c:pt>
                <c:pt idx="267">
                  <c:v>-3.7095036136786841</c:v>
                </c:pt>
                <c:pt idx="268">
                  <c:v>-3.9139460564511586</c:v>
                </c:pt>
                <c:pt idx="269">
                  <c:v>-4.1185950134301654</c:v>
                </c:pt>
                <c:pt idx="270">
                  <c:v>-4.3234599702892851</c:v>
                </c:pt>
                <c:pt idx="271">
                  <c:v>-4.5285508364509122</c:v>
                </c:pt>
                <c:pt idx="272">
                  <c:v>-4.7338779630436276</c:v>
                </c:pt>
                <c:pt idx="273">
                  <c:v>-4.939452161535538</c:v>
                </c:pt>
                <c:pt idx="274">
                  <c:v>-5.1452847230663874</c:v>
                </c:pt>
                <c:pt idx="275">
                  <c:v>-5.3513874384957285</c:v>
                </c:pt>
                <c:pt idx="276">
                  <c:v>-5.5577726191890449</c:v>
                </c:pt>
                <c:pt idx="277">
                  <c:v>-5.7644531185605672</c:v>
                </c:pt>
                <c:pt idx="278">
                  <c:v>-5.9714423543945614</c:v>
                </c:pt>
                <c:pt idx="279">
                  <c:v>-6.1787543319648917</c:v>
                </c:pt>
                <c:pt idx="280">
                  <c:v>-6.3864036679749461</c:v>
                </c:pt>
                <c:pt idx="281">
                  <c:v>-6.5944056153392738</c:v>
                </c:pt>
                <c:pt idx="282">
                  <c:v>-6.8027760888292663</c:v>
                </c:pt>
                <c:pt idx="283">
                  <c:v>-7.011531691605164</c:v>
                </c:pt>
                <c:pt idx="284">
                  <c:v>-7.2206897426585792</c:v>
                </c:pt>
                <c:pt idx="285">
                  <c:v>-7.4302683051903209</c:v>
                </c:pt>
                <c:pt idx="286">
                  <c:v>-7.6402862159487173</c:v>
                </c:pt>
                <c:pt idx="287">
                  <c:v>-7.8507631155557069</c:v>
                </c:pt>
                <c:pt idx="288">
                  <c:v>-8.061719479849824</c:v>
                </c:pt>
                <c:pt idx="289">
                  <c:v>-8.2731766522770531</c:v>
                </c:pt>
                <c:pt idx="290">
                  <c:v>-8.4851568773627246</c:v>
                </c:pt>
                <c:pt idx="291">
                  <c:v>-8.6976833353011731</c:v>
                </c:pt>
                <c:pt idx="292">
                  <c:v>-8.9107801777032556</c:v>
                </c:pt>
                <c:pt idx="293">
                  <c:v>-9.1244725645457319</c:v>
                </c:pt>
                <c:pt idx="294">
                  <c:v>-9.338786702372186</c:v>
                </c:pt>
                <c:pt idx="295">
                  <c:v>-9.553749883800208</c:v>
                </c:pt>
                <c:pt idx="296">
                  <c:v>-9.7693905283964924</c:v>
                </c:pt>
                <c:pt idx="297">
                  <c:v>-9.9857382249907864</c:v>
                </c:pt>
                <c:pt idx="298">
                  <c:v>-10.202823775506289</c:v>
                </c:pt>
                <c:pt idx="299">
                  <c:v>-10.420679240397527</c:v>
                </c:pt>
                <c:pt idx="300">
                  <c:v>-10.639337985795061</c:v>
                </c:pt>
                <c:pt idx="301">
                  <c:v>-10.85883473247498</c:v>
                </c:pt>
                <c:pt idx="302">
                  <c:v>-11.079205606782494</c:v>
                </c:pt>
                <c:pt idx="303">
                  <c:v>-11.300488193657321</c:v>
                </c:pt>
                <c:pt idx="304">
                  <c:v>-11.522721591930868</c:v>
                </c:pt>
                <c:pt idx="305">
                  <c:v>-11.745946472083125</c:v>
                </c:pt>
                <c:pt idx="306">
                  <c:v>-11.970205136675036</c:v>
                </c:pt>
                <c:pt idx="307">
                  <c:v>-12.195541583696464</c:v>
                </c:pt>
                <c:pt idx="308">
                  <c:v>-12.422001573099976</c:v>
                </c:pt>
                <c:pt idx="309">
                  <c:v>-12.64963269682333</c:v>
                </c:pt>
                <c:pt idx="310">
                  <c:v>-12.878484452636354</c:v>
                </c:pt>
                <c:pt idx="311">
                  <c:v>-13.108608322185937</c:v>
                </c:pt>
                <c:pt idx="312">
                  <c:v>-13.340057853650082</c:v>
                </c:pt>
                <c:pt idx="313">
                  <c:v>-13.572888749455636</c:v>
                </c:pt>
                <c:pt idx="314">
                  <c:v>-13.807158959550566</c:v>
                </c:pt>
                <c:pt idx="315">
                  <c:v>-14.042928780770364</c:v>
                </c:pt>
                <c:pt idx="316">
                  <c:v>-14.280260962876334</c:v>
                </c:pt>
                <c:pt idx="317">
                  <c:v>-14.519220821882824</c:v>
                </c:pt>
                <c:pt idx="318">
                  <c:v>-14.759876361332919</c:v>
                </c:pt>
                <c:pt idx="319">
                  <c:v>-15.00229840220895</c:v>
                </c:pt>
                <c:pt idx="320">
                  <c:v>-15.246560722193793</c:v>
                </c:pt>
                <c:pt idx="321">
                  <c:v>-15.492740205012632</c:v>
                </c:pt>
                <c:pt idx="322">
                  <c:v>-15.740917000588384</c:v>
                </c:pt>
                <c:pt idx="323">
                  <c:v>-15.991174696731621</c:v>
                </c:pt>
                <c:pt idx="324">
                  <c:v>-16.243600503047549</c:v>
                </c:pt>
                <c:pt idx="325">
                  <c:v>-16.498285447685802</c:v>
                </c:pt>
                <c:pt idx="326">
                  <c:v>-16.755324587460777</c:v>
                </c:pt>
                <c:pt idx="327">
                  <c:v>-17.014817231745059</c:v>
                </c:pt>
                <c:pt idx="328">
                  <c:v>-17.276867180354888</c:v>
                </c:pt>
                <c:pt idx="329">
                  <c:v>-17.541582975417793</c:v>
                </c:pt>
                <c:pt idx="330">
                  <c:v>-17.809078166920223</c:v>
                </c:pt>
                <c:pt idx="331">
                  <c:v>-18.079471591261882</c:v>
                </c:pt>
                <c:pt idx="332">
                  <c:v>-18.352887661701711</c:v>
                </c:pt>
                <c:pt idx="333">
                  <c:v>-18.629456669034749</c:v>
                </c:pt>
                <c:pt idx="334">
                  <c:v>-18.909315090203489</c:v>
                </c:pt>
                <c:pt idx="335">
                  <c:v>-19.192605901794572</c:v>
                </c:pt>
                <c:pt idx="336">
                  <c:v>-19.479478894504464</c:v>
                </c:pt>
                <c:pt idx="337">
                  <c:v>-19.770090983671224</c:v>
                </c:pt>
                <c:pt idx="338">
                  <c:v>-20.064606509854453</c:v>
                </c:pt>
                <c:pt idx="339">
                  <c:v>-20.363197522215589</c:v>
                </c:pt>
                <c:pt idx="340">
                  <c:v>-20.666044036107252</c:v>
                </c:pt>
                <c:pt idx="341">
                  <c:v>-20.973334254845469</c:v>
                </c:pt>
                <c:pt idx="342">
                  <c:v>-21.285264744133798</c:v>
                </c:pt>
                <c:pt idx="343">
                  <c:v>-21.602040546078122</c:v>
                </c:pt>
                <c:pt idx="344">
                  <c:v>-21.923875218224488</c:v>
                </c:pt>
                <c:pt idx="345">
                  <c:v>-22.250990781627902</c:v>
                </c:pt>
                <c:pt idx="346">
                  <c:v>-22.583617560719944</c:v>
                </c:pt>
                <c:pt idx="347">
                  <c:v>-22.921993896759176</c:v>
                </c:pt>
                <c:pt idx="348">
                  <c:v>-23.266365716060847</c:v>
                </c:pt>
                <c:pt idx="349">
                  <c:v>-23.616985934123328</c:v>
                </c:pt>
                <c:pt idx="350">
                  <c:v>-23.974113677337105</c:v>
                </c:pt>
                <c:pt idx="351">
                  <c:v>-24.338013305327813</c:v>
                </c:pt>
                <c:pt idx="352">
                  <c:v>-24.708953219270601</c:v>
                </c:pt>
                <c:pt idx="353">
                  <c:v>-25.087204444842925</c:v>
                </c:pt>
                <c:pt idx="354">
                  <c:v>-25.473038982943685</c:v>
                </c:pt>
                <c:pt idx="355">
                  <c:v>-25.866727926934022</c:v>
                </c:pt>
                <c:pt idx="356">
                  <c:v>-26.268539351930443</c:v>
                </c:pt>
                <c:pt idx="357">
                  <c:v>-26.67873598950003</c:v>
                </c:pt>
                <c:pt idx="358">
                  <c:v>-27.097572709780572</c:v>
                </c:pt>
                <c:pt idx="359">
                  <c:v>-27.525293842279943</c:v>
                </c:pt>
                <c:pt idx="360">
                  <c:v>-27.962130376015786</c:v>
                </c:pt>
                <c:pt idx="361">
                  <c:v>-28.408297088753635</c:v>
                </c:pt>
                <c:pt idx="362">
                  <c:v>-28.863989663337751</c:v>
                </c:pt>
                <c:pt idx="363">
                  <c:v>-29.329381855916292</c:v>
                </c:pt>
                <c:pt idx="364">
                  <c:v>-29.804622785639303</c:v>
                </c:pt>
                <c:pt idx="365">
                  <c:v>-30.289834417655143</c:v>
                </c:pt>
                <c:pt idx="366">
                  <c:v>-30.78510931052941</c:v>
                </c:pt>
                <c:pt idx="367">
                  <c:v>-31.290508695303856</c:v>
                </c:pt>
                <c:pt idx="368">
                  <c:v>-31.806060946276581</c:v>
                </c:pt>
                <c:pt idx="369">
                  <c:v>-32.331760493364882</c:v>
                </c:pt>
                <c:pt idx="370">
                  <c:v>-32.867567213050144</c:v>
                </c:pt>
                <c:pt idx="371">
                  <c:v>-33.413406319995083</c:v>
                </c:pt>
                <c:pt idx="372">
                  <c:v>-33.969168765265415</c:v>
                </c:pt>
                <c:pt idx="373">
                  <c:v>-34.534712130568273</c:v>
                </c:pt>
                <c:pt idx="374">
                  <c:v>-35.109861991962966</c:v>
                </c:pt>
                <c:pt idx="375">
                  <c:v>-35.694413711977447</c:v>
                </c:pt>
                <c:pt idx="376">
                  <c:v>-36.28813460673814</c:v>
                </c:pt>
                <c:pt idx="377">
                  <c:v>-36.890766425160514</c:v>
                </c:pt>
                <c:pt idx="378">
                  <c:v>-37.502028070830818</c:v>
                </c:pt>
                <c:pt idx="379">
                  <c:v>-38.121618494040895</c:v>
                </c:pt>
                <c:pt idx="380">
                  <c:v>-38.749219681455749</c:v>
                </c:pt>
                <c:pt idx="381">
                  <c:v>-39.384499673787097</c:v>
                </c:pt>
                <c:pt idx="382">
                  <c:v>-40.027115547187115</c:v>
                </c:pt>
                <c:pt idx="383">
                  <c:v>-40.676716301331723</c:v>
                </c:pt>
                <c:pt idx="384">
                  <c:v>-41.332945605736562</c:v>
                </c:pt>
                <c:pt idx="385">
                  <c:v>-41.995444365172823</c:v>
                </c:pt>
                <c:pt idx="386">
                  <c:v>-42.663853074578064</c:v>
                </c:pt>
                <c:pt idx="387">
                  <c:v>-43.337813943128502</c:v>
                </c:pt>
                <c:pt idx="388">
                  <c:v>-44.016972775784104</c:v>
                </c:pt>
                <c:pt idx="389">
                  <c:v>-44.700980608359487</c:v>
                </c:pt>
                <c:pt idx="390">
                  <c:v>-45.389495098843469</c:v>
                </c:pt>
                <c:pt idx="391">
                  <c:v>-46.08218168320083</c:v>
                </c:pt>
                <c:pt idx="392">
                  <c:v>-46.778714508223104</c:v>
                </c:pt>
                <c:pt idx="393">
                  <c:v>-47.478777157217628</c:v>
                </c:pt>
                <c:pt idx="394">
                  <c:v>-48.182063186509055</c:v>
                </c:pt>
                <c:pt idx="395">
                  <c:v>-48.888276492012395</c:v>
                </c:pt>
                <c:pt idx="396">
                  <c:v>-49.597131525640734</c:v>
                </c:pt>
                <c:pt idx="397">
                  <c:v>-50.30835338119131</c:v>
                </c:pt>
                <c:pt idx="398">
                  <c:v>-51.021677768727727</c:v>
                </c:pt>
                <c:pt idx="399">
                  <c:v>-51.736850895484139</c:v>
                </c:pt>
                <c:pt idx="400">
                  <c:v>-52.453629270055949</c:v>
                </c:pt>
                <c:pt idx="401">
                  <c:v>-53.171779445218988</c:v>
                </c:pt>
                <c:pt idx="402">
                  <c:v>-53.891077713205497</c:v>
                </c:pt>
                <c:pt idx="403">
                  <c:v>-54.611309765725821</c:v>
                </c:pt>
                <c:pt idx="404">
                  <c:v>-55.332270329511104</c:v>
                </c:pt>
                <c:pt idx="405">
                  <c:v>-56.053762786696389</c:v>
                </c:pt>
                <c:pt idx="406">
                  <c:v>-56.775598787997353</c:v>
                </c:pt>
                <c:pt idx="407">
                  <c:v>-57.497597865360383</c:v>
                </c:pt>
                <c:pt idx="408">
                  <c:v>-58.219587049616379</c:v>
                </c:pt>
                <c:pt idx="409">
                  <c:v>-58.94140049761635</c:v>
                </c:pt>
                <c:pt idx="410">
                  <c:v>-59.662879132403475</c:v>
                </c:pt>
                <c:pt idx="411">
                  <c:v>-60.383870299147802</c:v>
                </c:pt>
                <c:pt idx="412">
                  <c:v>-61.104227438854736</c:v>
                </c:pt>
                <c:pt idx="413">
                  <c:v>-61.823809781230423</c:v>
                </c:pt>
                <c:pt idx="414">
                  <c:v>-62.542482057550011</c:v>
                </c:pt>
                <c:pt idx="415">
                  <c:v>-63.260114233916255</c:v>
                </c:pt>
                <c:pt idx="416">
                  <c:v>-63.97658126490812</c:v>
                </c:pt>
                <c:pt idx="417">
                  <c:v>-64.69176286728954</c:v>
                </c:pt>
                <c:pt idx="418">
                  <c:v>-65.405543313184126</c:v>
                </c:pt>
                <c:pt idx="419">
                  <c:v>-66.117811241897158</c:v>
                </c:pt>
                <c:pt idx="420">
                  <c:v>-66.828459489391633</c:v>
                </c:pt>
                <c:pt idx="421">
                  <c:v>-67.537384934286194</c:v>
                </c:pt>
                <c:pt idx="422">
                  <c:v>-68.244488359136326</c:v>
                </c:pt>
                <c:pt idx="423">
                  <c:v>-68.949674325692982</c:v>
                </c:pt>
                <c:pt idx="424">
                  <c:v>-69.652851062775639</c:v>
                </c:pt>
                <c:pt idx="425">
                  <c:v>-70.353930365383079</c:v>
                </c:pt>
                <c:pt idx="426">
                  <c:v>-71.052827503658932</c:v>
                </c:pt>
                <c:pt idx="427">
                  <c:v>-71.749461140345204</c:v>
                </c:pt>
                <c:pt idx="428">
                  <c:v>-72.443753255397667</c:v>
                </c:pt>
                <c:pt idx="429">
                  <c:v>-73.135629076486609</c:v>
                </c:pt>
                <c:pt idx="430">
                  <c:v>-73.825017014164629</c:v>
                </c:pt>
                <c:pt idx="431">
                  <c:v>-74.511848600573828</c:v>
                </c:pt>
                <c:pt idx="432">
                  <c:v>-75.196058430641827</c:v>
                </c:pt>
                <c:pt idx="433">
                  <c:v>-75.877584104823029</c:v>
                </c:pt>
                <c:pt idx="434">
                  <c:v>-76.556366172542326</c:v>
                </c:pt>
                <c:pt idx="435">
                  <c:v>-77.232348075613089</c:v>
                </c:pt>
                <c:pt idx="436">
                  <c:v>-77.905476091023104</c:v>
                </c:pt>
                <c:pt idx="437">
                  <c:v>-78.575699272594534</c:v>
                </c:pt>
                <c:pt idx="438">
                  <c:v>-79.242969391153096</c:v>
                </c:pt>
                <c:pt idx="439">
                  <c:v>-79.907240872959605</c:v>
                </c:pt>
                <c:pt idx="440">
                  <c:v>-80.568470736276495</c:v>
                </c:pt>
                <c:pt idx="441">
                  <c:v>-81.226618526060022</c:v>
                </c:pt>
                <c:pt idx="442">
                  <c:v>-81.881646246872336</c:v>
                </c:pt>
                <c:pt idx="443">
                  <c:v>-82.533518294217018</c:v>
                </c:pt>
                <c:pt idx="444">
                  <c:v>-83.182201384589831</c:v>
                </c:pt>
                <c:pt idx="445">
                  <c:v>-83.827664484624648</c:v>
                </c:pt>
                <c:pt idx="446">
                  <c:v>-84.469878739780725</c:v>
                </c:pt>
                <c:pt idx="447">
                  <c:v>-85.108817403084046</c:v>
                </c:pt>
                <c:pt idx="448">
                  <c:v>-85.744455764477664</c:v>
                </c:pt>
                <c:pt idx="449">
                  <c:v>-86.37677108137126</c:v>
                </c:pt>
                <c:pt idx="450">
                  <c:v>-87.00574251100042</c:v>
                </c:pt>
                <c:pt idx="451">
                  <c:v>-87.631351045206415</c:v>
                </c:pt>
                <c:pt idx="452">
                  <c:v>-88.253579448247521</c:v>
                </c:pt>
                <c:pt idx="453">
                  <c:v>-88.872412198220886</c:v>
                </c:pt>
                <c:pt idx="454">
                  <c:v>-89.487835432646946</c:v>
                </c:pt>
                <c:pt idx="455">
                  <c:v>-90.09983689871467</c:v>
                </c:pt>
                <c:pt idx="456">
                  <c:v>-90.708405908632272</c:v>
                </c:pt>
                <c:pt idx="457">
                  <c:v>-91.313533300457181</c:v>
                </c:pt>
                <c:pt idx="458">
                  <c:v>-91.91521140470131</c:v>
                </c:pt>
                <c:pt idx="459">
                  <c:v>-92.513434016926738</c:v>
                </c:pt>
                <c:pt idx="460">
                  <c:v>-93.10819637645254</c:v>
                </c:pt>
                <c:pt idx="461">
                  <c:v>-93.699495151202044</c:v>
                </c:pt>
                <c:pt idx="462">
                  <c:v>-94.287328428624718</c:v>
                </c:pt>
                <c:pt idx="463">
                  <c:v>-94.871695712528265</c:v>
                </c:pt>
                <c:pt idx="464">
                  <c:v>-95.452597925560866</c:v>
                </c:pt>
                <c:pt idx="465">
                  <c:v>-96.030037416992144</c:v>
                </c:pt>
                <c:pt idx="466">
                  <c:v>-96.604017975355006</c:v>
                </c:pt>
                <c:pt idx="467">
                  <c:v>-97.174544845422105</c:v>
                </c:pt>
                <c:pt idx="468">
                  <c:v>-97.741624748925986</c:v>
                </c:pt>
                <c:pt idx="469">
                  <c:v>-98.305265908357441</c:v>
                </c:pt>
                <c:pt idx="470">
                  <c:v>-98.865478073127434</c:v>
                </c:pt>
                <c:pt idx="471">
                  <c:v>-99.422272547330067</c:v>
                </c:pt>
                <c:pt idx="472">
                  <c:v>-99.975662218313218</c:v>
                </c:pt>
                <c:pt idx="473">
                  <c:v>-100.52566158524215</c:v>
                </c:pt>
                <c:pt idx="474">
                  <c:v>-101.07228678683684</c:v>
                </c:pt>
                <c:pt idx="475">
                  <c:v>-101.61555562746285</c:v>
                </c:pt>
                <c:pt idx="476">
                  <c:v>-102.15548760078283</c:v>
                </c:pt>
                <c:pt idx="477">
                  <c:v>-102.69210391019696</c:v>
                </c:pt>
                <c:pt idx="478">
                  <c:v>-103.22542748535085</c:v>
                </c:pt>
                <c:pt idx="479">
                  <c:v>-103.7554829940366</c:v>
                </c:pt>
                <c:pt idx="480">
                  <c:v>-104.2822968488811</c:v>
                </c:pt>
                <c:pt idx="481">
                  <c:v>-104.80589720828269</c:v>
                </c:pt>
                <c:pt idx="482">
                  <c:v>-105.32631397114292</c:v>
                </c:pt>
                <c:pt idx="483">
                  <c:v>-105.84357876501885</c:v>
                </c:pt>
                <c:pt idx="484">
                  <c:v>-106.35772492741762</c:v>
                </c:pt>
                <c:pt idx="485">
                  <c:v>-106.86878748004304</c:v>
                </c:pt>
                <c:pt idx="486">
                  <c:v>-107.37680309590075</c:v>
                </c:pt>
                <c:pt idx="487">
                  <c:v>-107.88181005926228</c:v>
                </c:pt>
                <c:pt idx="488">
                  <c:v>-108.3838482185752</c:v>
                </c:pt>
                <c:pt idx="489">
                  <c:v>-108.8829589325028</c:v>
                </c:pt>
                <c:pt idx="490">
                  <c:v>-109.37918500935119</c:v>
                </c:pt>
                <c:pt idx="491">
                  <c:v>-109.87257064022563</c:v>
                </c:pt>
                <c:pt idx="492">
                  <c:v>-110.36316132632328</c:v>
                </c:pt>
                <c:pt idx="493">
                  <c:v>-110.85100380083389</c:v>
                </c:pt>
                <c:pt idx="494">
                  <c:v>-111.33614594597368</c:v>
                </c:pt>
                <c:pt idx="495">
                  <c:v>-111.81863670571802</c:v>
                </c:pt>
                <c:pt idx="496">
                  <c:v>-112.29852599483914</c:v>
                </c:pt>
                <c:pt idx="497">
                  <c:v>-112.77586460487308</c:v>
                </c:pt>
                <c:pt idx="498">
                  <c:v>-113.2507041076628</c:v>
                </c:pt>
                <c:pt idx="499">
                  <c:v>-113.72309675712489</c:v>
                </c:pt>
                <c:pt idx="500">
                  <c:v>-114.19309538988855</c:v>
                </c:pt>
                <c:pt idx="501">
                  <c:v>-114.66075332544328</c:v>
                </c:pt>
                <c:pt idx="502">
                  <c:v>-115.12612426641613</c:v>
                </c:pt>
                <c:pt idx="503">
                  <c:v>-115.5892621995697</c:v>
                </c:pt>
                <c:pt idx="504">
                  <c:v>-116.05022129808785</c:v>
                </c:pt>
                <c:pt idx="505">
                  <c:v>-116.50905582567475</c:v>
                </c:pt>
                <c:pt idx="506">
                  <c:v>-116.96582004295693</c:v>
                </c:pt>
                <c:pt idx="507">
                  <c:v>-117.42056811663178</c:v>
                </c:pt>
                <c:pt idx="508">
                  <c:v>-117.87335403176449</c:v>
                </c:pt>
                <c:pt idx="509">
                  <c:v>-118.32423150758395</c:v>
                </c:pt>
                <c:pt idx="510">
                  <c:v>-118.77325391708297</c:v>
                </c:pt>
                <c:pt idx="511">
                  <c:v>-119.22047421068075</c:v>
                </c:pt>
                <c:pt idx="512">
                  <c:v>-119.66594484415793</c:v>
                </c:pt>
                <c:pt idx="513">
                  <c:v>-120.10971771102687</c:v>
                </c:pt>
                <c:pt idx="514">
                  <c:v>-120.55184407945939</c:v>
                </c:pt>
                <c:pt idx="515">
                  <c:v>-120.99237453384856</c:v>
                </c:pt>
                <c:pt idx="516">
                  <c:v>-121.43135892104495</c:v>
                </c:pt>
                <c:pt idx="517">
                  <c:v>-121.86884630126899</c:v>
                </c:pt>
                <c:pt idx="518">
                  <c:v>-122.30488490366731</c:v>
                </c:pt>
                <c:pt idx="519">
                  <c:v>-122.73952208645319</c:v>
                </c:pt>
                <c:pt idx="520">
                  <c:v>-123.17280430154044</c:v>
                </c:pt>
                <c:pt idx="521">
                  <c:v>-123.60477706355839</c:v>
                </c:pt>
                <c:pt idx="522">
                  <c:v>-124.03548492311339</c:v>
                </c:pt>
                <c:pt idx="523">
                  <c:v>-124.46497144414543</c:v>
                </c:pt>
                <c:pt idx="524">
                  <c:v>-124.89327918521384</c:v>
                </c:pt>
                <c:pt idx="525">
                  <c:v>-125.32044968453116</c:v>
                </c:pt>
                <c:pt idx="526">
                  <c:v>-125.74652344855851</c:v>
                </c:pt>
                <c:pt idx="527">
                  <c:v>-126.1715399439688</c:v>
                </c:pt>
                <c:pt idx="528">
                  <c:v>-126.59553759277479</c:v>
                </c:pt>
                <c:pt idx="529">
                  <c:v>-127.01855377042369</c:v>
                </c:pt>
                <c:pt idx="530">
                  <c:v>-127.44062480665222</c:v>
                </c:pt>
                <c:pt idx="531">
                  <c:v>-127.86178598890328</c:v>
                </c:pt>
                <c:pt idx="532">
                  <c:v>-128.28207156810294</c:v>
                </c:pt>
                <c:pt idx="533">
                  <c:v>-128.70151476660422</c:v>
                </c:pt>
                <c:pt idx="534">
                  <c:v>-129.12014778810655</c:v>
                </c:pt>
                <c:pt idx="535">
                  <c:v>-129.53800182936521</c:v>
                </c:pt>
                <c:pt idx="536">
                  <c:v>-129.95510709351487</c:v>
                </c:pt>
                <c:pt idx="537">
                  <c:v>-130.37149280483601</c:v>
                </c:pt>
                <c:pt idx="538">
                  <c:v>-130.78718722480014</c:v>
                </c:pt>
                <c:pt idx="539">
                  <c:v>-131.20221766923979</c:v>
                </c:pt>
                <c:pt idx="540">
                  <c:v>-131.61661052649629</c:v>
                </c:pt>
                <c:pt idx="541">
                  <c:v>-132.03039127640852</c:v>
                </c:pt>
              </c:numCache>
            </c:numRef>
          </c:yVal>
          <c:smooth val="1"/>
          <c:extLst>
            <c:ext xmlns:c16="http://schemas.microsoft.com/office/drawing/2014/chart" uri="{C3380CC4-5D6E-409C-BE32-E72D297353CC}">
              <c16:uniqueId val="{00000000-2470-421C-8EF3-DF4BAC2DF802}"/>
            </c:ext>
          </c:extLst>
        </c:ser>
        <c:ser>
          <c:idx val="2"/>
          <c:order val="2"/>
          <c:tx>
            <c:v>f_LP</c:v>
          </c:tx>
          <c:spPr>
            <a:ln w="38100" cmpd="sng"/>
          </c:spPr>
          <c:marker>
            <c:symbol val="x"/>
            <c:size val="7"/>
            <c:spPr>
              <a:noFill/>
            </c:spPr>
          </c:marker>
          <c:dPt>
            <c:idx val="0"/>
            <c:marker>
              <c:spPr>
                <a:noFill/>
                <a:ln w="19050">
                  <a:solidFill>
                    <a:schemeClr val="tx1"/>
                  </a:solidFill>
                </a:ln>
              </c:spPr>
            </c:marker>
            <c:bubble3D val="0"/>
            <c:extLst>
              <c:ext xmlns:c16="http://schemas.microsoft.com/office/drawing/2014/chart" uri="{C3380CC4-5D6E-409C-BE32-E72D297353CC}">
                <c16:uniqueId val="{00000001-2470-421C-8EF3-DF4BAC2DF802}"/>
              </c:ext>
            </c:extLst>
          </c:dPt>
          <c:dLbls>
            <c:dLbl>
              <c:idx val="0"/>
              <c:tx>
                <c:rich>
                  <a:bodyPr/>
                  <a:lstStyle/>
                  <a:p>
                    <a:r>
                      <a:rPr lang="en-US" sz="1100" b="1"/>
                      <a:t>f</a:t>
                    </a:r>
                    <a:r>
                      <a:rPr lang="en-US" sz="1100" b="1" baseline="-25000"/>
                      <a:t>LP</a:t>
                    </a:r>
                    <a:endParaRPr lang="en-US" b="1" baseline="-25000"/>
                  </a:p>
                </c:rich>
              </c:tx>
              <c:dLblPos val="b"/>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470-421C-8EF3-DF4BAC2DF802}"/>
                </c:ext>
              </c:extLst>
            </c:dLbl>
            <c:spPr>
              <a:noFill/>
              <a:ln>
                <a:noFill/>
              </a:ln>
              <a:effectLst/>
            </c:sp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Loop_Modeling!$O$11</c:f>
              <c:numCache>
                <c:formatCode>0</c:formatCode>
                <c:ptCount val="1"/>
                <c:pt idx="0">
                  <c:v>0.15603425793323072</c:v>
                </c:pt>
              </c:numCache>
            </c:numRef>
          </c:xVal>
          <c:yVal>
            <c:numRef>
              <c:f>Loop_Modeling!$AT$11</c:f>
              <c:numCache>
                <c:formatCode>0.000</c:formatCode>
                <c:ptCount val="1"/>
                <c:pt idx="0">
                  <c:v>121.47103320017985</c:v>
                </c:pt>
              </c:numCache>
            </c:numRef>
          </c:yVal>
          <c:smooth val="0"/>
          <c:extLst>
            <c:ext xmlns:c16="http://schemas.microsoft.com/office/drawing/2014/chart" uri="{C3380CC4-5D6E-409C-BE32-E72D297353CC}">
              <c16:uniqueId val="{00000002-2470-421C-8EF3-DF4BAC2DF802}"/>
            </c:ext>
          </c:extLst>
        </c:ser>
        <c:ser>
          <c:idx val="3"/>
          <c:order val="3"/>
          <c:tx>
            <c:v>fz_rhp</c:v>
          </c:tx>
          <c:spPr>
            <a:ln>
              <a:solidFill>
                <a:schemeClr val="tx1"/>
              </a:solidFill>
            </a:ln>
          </c:spPr>
          <c:marker>
            <c:symbol val="circle"/>
            <c:size val="7"/>
            <c:spPr>
              <a:noFill/>
              <a:ln w="19050">
                <a:solidFill>
                  <a:schemeClr val="tx1"/>
                </a:solidFill>
              </a:ln>
            </c:spPr>
          </c:marker>
          <c:dLbls>
            <c:dLbl>
              <c:idx val="0"/>
              <c:layout>
                <c:manualLayout>
                  <c:x val="8.0501209561423519E-3"/>
                  <c:y val="-1.549366727850418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470-421C-8EF3-DF4BAC2DF802}"/>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Loop_Modeling!$O$9</c:f>
              <c:numCache>
                <c:formatCode>0</c:formatCode>
                <c:ptCount val="1"/>
                <c:pt idx="0">
                  <c:v>234051.38689984611</c:v>
                </c:pt>
              </c:numCache>
            </c:numRef>
          </c:xVal>
          <c:yVal>
            <c:numRef>
              <c:f>Loop_Modeling!$AT$9</c:f>
              <c:numCache>
                <c:formatCode>0.000</c:formatCode>
                <c:ptCount val="1"/>
                <c:pt idx="0">
                  <c:v>-77.859204890166978</c:v>
                </c:pt>
              </c:numCache>
            </c:numRef>
          </c:yVal>
          <c:smooth val="1"/>
          <c:extLst>
            <c:ext xmlns:c16="http://schemas.microsoft.com/office/drawing/2014/chart" uri="{C3380CC4-5D6E-409C-BE32-E72D297353CC}">
              <c16:uniqueId val="{00000004-2470-421C-8EF3-DF4BAC2DF802}"/>
            </c:ext>
          </c:extLst>
        </c:ser>
        <c:ser>
          <c:idx val="4"/>
          <c:order val="4"/>
          <c:tx>
            <c:v>f_esr</c:v>
          </c:tx>
          <c:spPr>
            <a:ln>
              <a:noFill/>
            </a:ln>
          </c:spPr>
          <c:marker>
            <c:symbol val="circle"/>
            <c:size val="5"/>
            <c:spPr>
              <a:noFill/>
              <a:ln w="19050">
                <a:solidFill>
                  <a:schemeClr val="tx1"/>
                </a:solidFill>
              </a:ln>
            </c:spPr>
          </c:marker>
          <c:dPt>
            <c:idx val="0"/>
            <c:marker>
              <c:symbol val="circle"/>
              <c:size val="7"/>
            </c:marker>
            <c:bubble3D val="0"/>
            <c:extLst>
              <c:ext xmlns:c16="http://schemas.microsoft.com/office/drawing/2014/chart" uri="{C3380CC4-5D6E-409C-BE32-E72D297353CC}">
                <c16:uniqueId val="{00000005-2470-421C-8EF3-DF4BAC2DF802}"/>
              </c:ext>
            </c:extLst>
          </c:dPt>
          <c:dLbls>
            <c:dLbl>
              <c:idx val="0"/>
              <c:layout>
                <c:manualLayout>
                  <c:x val="-5.990474489899654E-2"/>
                  <c:y val="-1.2457193490087108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2470-421C-8EF3-DF4BAC2DF802}"/>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Loop_Modeling!$O$10</c:f>
              <c:numCache>
                <c:formatCode>0</c:formatCode>
                <c:ptCount val="1"/>
                <c:pt idx="0">
                  <c:v>663145.59621623065</c:v>
                </c:pt>
              </c:numCache>
            </c:numRef>
          </c:xVal>
          <c:yVal>
            <c:numRef>
              <c:f>Loop_Modeling!$AT$10</c:f>
              <c:numCache>
                <c:formatCode>0.000</c:formatCode>
                <c:ptCount val="1"/>
                <c:pt idx="0">
                  <c:v>-104.88984063045599</c:v>
                </c:pt>
              </c:numCache>
            </c:numRef>
          </c:yVal>
          <c:smooth val="1"/>
          <c:extLst>
            <c:ext xmlns:c16="http://schemas.microsoft.com/office/drawing/2014/chart" uri="{C3380CC4-5D6E-409C-BE32-E72D297353CC}">
              <c16:uniqueId val="{00000006-2470-421C-8EF3-DF4BAC2DF802}"/>
            </c:ext>
          </c:extLst>
        </c:ser>
        <c:ser>
          <c:idx val="5"/>
          <c:order val="5"/>
          <c:tx>
            <c:v>fz_ea</c:v>
          </c:tx>
          <c:marker>
            <c:symbol val="circle"/>
            <c:size val="8"/>
            <c:spPr>
              <a:noFill/>
              <a:ln w="25400">
                <a:solidFill>
                  <a:srgbClr val="00B0F0"/>
                </a:solidFill>
              </a:ln>
            </c:spPr>
          </c:marker>
          <c:dLbls>
            <c:dLbl>
              <c:idx val="0"/>
              <c:spPr/>
              <c:txPr>
                <a:bodyPr/>
                <a:lstStyle/>
                <a:p>
                  <a:pPr>
                    <a:defRPr b="1"/>
                  </a:pPr>
                  <a:endParaRPr lang="en-US"/>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2470-421C-8EF3-DF4BAC2DF80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Loop_Modeling!$O$12</c:f>
              <c:numCache>
                <c:formatCode>General</c:formatCode>
                <c:ptCount val="1"/>
                <c:pt idx="0">
                  <c:v>12.918420705510986</c:v>
                </c:pt>
              </c:numCache>
            </c:numRef>
          </c:xVal>
          <c:yVal>
            <c:numRef>
              <c:f>Loop_Modeling!$AT$12</c:f>
              <c:numCache>
                <c:formatCode>0.000</c:formatCode>
                <c:ptCount val="1"/>
                <c:pt idx="0">
                  <c:v>50.770786781907759</c:v>
                </c:pt>
              </c:numCache>
            </c:numRef>
          </c:yVal>
          <c:smooth val="1"/>
          <c:extLst>
            <c:ext xmlns:c16="http://schemas.microsoft.com/office/drawing/2014/chart" uri="{C3380CC4-5D6E-409C-BE32-E72D297353CC}">
              <c16:uniqueId val="{00000008-2470-421C-8EF3-DF4BAC2DF802}"/>
            </c:ext>
          </c:extLst>
        </c:ser>
        <c:ser>
          <c:idx val="6"/>
          <c:order val="6"/>
          <c:tx>
            <c:v>fp_ea</c:v>
          </c:tx>
          <c:marker>
            <c:symbol val="x"/>
            <c:size val="7"/>
            <c:spPr>
              <a:noFill/>
              <a:ln w="25400">
                <a:solidFill>
                  <a:srgbClr val="00B0F0"/>
                </a:solidFill>
              </a:ln>
            </c:spPr>
          </c:marker>
          <c:dLbls>
            <c:dLbl>
              <c:idx val="0"/>
              <c:layout>
                <c:manualLayout>
                  <c:x val="-5.3995739911983948E-2"/>
                  <c:y val="3.3712510009006609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470-421C-8EF3-DF4BAC2DF802}"/>
                </c:ext>
              </c:extLst>
            </c:dLbl>
            <c:spPr>
              <a:noFill/>
              <a:ln>
                <a:noFill/>
              </a:ln>
              <a:effectLst/>
            </c:spPr>
            <c:txPr>
              <a:bodyPr/>
              <a:lstStyle/>
              <a:p>
                <a:pPr>
                  <a:defRPr b="1"/>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Loop_Modeling!$O$13</c:f>
              <c:numCache>
                <c:formatCode>General</c:formatCode>
                <c:ptCount val="1"/>
                <c:pt idx="0">
                  <c:v>32896.171125642555</c:v>
                </c:pt>
              </c:numCache>
            </c:numRef>
          </c:xVal>
          <c:yVal>
            <c:numRef>
              <c:f>Loop_Modeling!$AT$13</c:f>
              <c:numCache>
                <c:formatCode>0.000</c:formatCode>
                <c:ptCount val="1"/>
                <c:pt idx="0">
                  <c:v>-24.233426548936524</c:v>
                </c:pt>
              </c:numCache>
            </c:numRef>
          </c:yVal>
          <c:smooth val="1"/>
          <c:extLst>
            <c:ext xmlns:c16="http://schemas.microsoft.com/office/drawing/2014/chart" uri="{C3380CC4-5D6E-409C-BE32-E72D297353CC}">
              <c16:uniqueId val="{0000000A-2470-421C-8EF3-DF4BAC2DF802}"/>
            </c:ext>
          </c:extLst>
        </c:ser>
        <c:dLbls>
          <c:showLegendKey val="0"/>
          <c:showVal val="0"/>
          <c:showCatName val="0"/>
          <c:showSerName val="0"/>
          <c:showPercent val="0"/>
          <c:showBubbleSize val="0"/>
        </c:dLbls>
        <c:axId val="144369152"/>
        <c:axId val="144371072"/>
      </c:scatterChart>
      <c:scatterChart>
        <c:scatterStyle val="smoothMarker"/>
        <c:varyColors val="0"/>
        <c:ser>
          <c:idx val="1"/>
          <c:order val="1"/>
          <c:tx>
            <c:v>Phase (deg)</c:v>
          </c:tx>
          <c:spPr>
            <a:ln w="28575">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Loop_Modeling!$AU$19:$AU$560</c:f>
              <c:numCache>
                <c:formatCode>General</c:formatCode>
                <c:ptCount val="542"/>
                <c:pt idx="0">
                  <c:v>39.254723243643348</c:v>
                </c:pt>
                <c:pt idx="1">
                  <c:v>39.878554900634789</c:v>
                </c:pt>
                <c:pt idx="2">
                  <c:v>40.505912799213426</c:v>
                </c:pt>
                <c:pt idx="3">
                  <c:v>41.13647009315676</c:v>
                </c:pt>
                <c:pt idx="4">
                  <c:v>41.769893161389447</c:v>
                </c:pt>
                <c:pt idx="5">
                  <c:v>42.405842364625968</c:v>
                </c:pt>
                <c:pt idx="6">
                  <c:v>43.043972840587088</c:v>
                </c:pt>
                <c:pt idx="7">
                  <c:v>43.683935333276558</c:v>
                </c:pt>
                <c:pt idx="8">
                  <c:v>44.325377051417526</c:v>
                </c:pt>
                <c:pt idx="9">
                  <c:v>44.967942550812808</c:v>
                </c:pt>
                <c:pt idx="10">
                  <c:v>45.611274635108515</c:v>
                </c:pt>
                <c:pt idx="11">
                  <c:v>46.255015269231897</c:v>
                </c:pt>
                <c:pt idx="12">
                  <c:v>46.898806499613478</c:v>
                </c:pt>
                <c:pt idx="13">
                  <c:v>47.542291375230839</c:v>
                </c:pt>
                <c:pt idx="14">
                  <c:v>48.185114863504793</c:v>
                </c:pt>
                <c:pt idx="15">
                  <c:v>48.826924755133128</c:v>
                </c:pt>
                <c:pt idx="16">
                  <c:v>49.467372552087106</c:v>
                </c:pt>
                <c:pt idx="17">
                  <c:v>50.106114333194959</c:v>
                </c:pt>
                <c:pt idx="18">
                  <c:v>50.742811592004543</c:v>
                </c:pt>
                <c:pt idx="19">
                  <c:v>51.377132041930778</c:v>
                </c:pt>
                <c:pt idx="20">
                  <c:v>52.008750384091854</c:v>
                </c:pt>
                <c:pt idx="21">
                  <c:v>52.63734903363261</c:v>
                </c:pt>
                <c:pt idx="22">
                  <c:v>53.262618800822786</c:v>
                </c:pt>
                <c:pt idx="23">
                  <c:v>53.88425952369483</c:v>
                </c:pt>
                <c:pt idx="24">
                  <c:v>54.501980649498485</c:v>
                </c:pt>
                <c:pt idx="25">
                  <c:v>55.115501762792242</c:v>
                </c:pt>
                <c:pt idx="26">
                  <c:v>55.724553058505649</c:v>
                </c:pt>
                <c:pt idx="27">
                  <c:v>56.328875758857443</c:v>
                </c:pt>
                <c:pt idx="28">
                  <c:v>56.928222473517863</c:v>
                </c:pt>
                <c:pt idx="29">
                  <c:v>57.522357502918112</c:v>
                </c:pt>
                <c:pt idx="30">
                  <c:v>58.11105708508844</c:v>
                </c:pt>
                <c:pt idx="31">
                  <c:v>58.694109586849564</c:v>
                </c:pt>
                <c:pt idx="32">
                  <c:v>59.27131564061073</c:v>
                </c:pt>
                <c:pt idx="33">
                  <c:v>59.84248822840177</c:v>
                </c:pt>
                <c:pt idx="34">
                  <c:v>60.407452715103886</c:v>
                </c:pt>
                <c:pt idx="35">
                  <c:v>60.966046833149811</c:v>
                </c:pt>
                <c:pt idx="36">
                  <c:v>61.51812062120819</c:v>
                </c:pt>
                <c:pt idx="37">
                  <c:v>62.063536319589048</c:v>
                </c:pt>
                <c:pt idx="38">
                  <c:v>62.602168225266176</c:v>
                </c:pt>
                <c:pt idx="39">
                  <c:v>63.133902509546147</c:v>
                </c:pt>
                <c:pt idx="40">
                  <c:v>63.658637001492203</c:v>
                </c:pt>
                <c:pt idx="41">
                  <c:v>64.1762809402708</c:v>
                </c:pt>
                <c:pt idx="42">
                  <c:v>64.686754699590395</c:v>
                </c:pt>
                <c:pt idx="43">
                  <c:v>65.189989487391273</c:v>
                </c:pt>
                <c:pt idx="44">
                  <c:v>65.685927023895331</c:v>
                </c:pt>
                <c:pt idx="45">
                  <c:v>66.174519201049122</c:v>
                </c:pt>
                <c:pt idx="46">
                  <c:v>66.655727726299347</c:v>
                </c:pt>
                <c:pt idx="47">
                  <c:v>67.129523753525447</c:v>
                </c:pt>
                <c:pt idx="48">
                  <c:v>67.59588750381684</c:v>
                </c:pt>
                <c:pt idx="49">
                  <c:v>68.054807878648532</c:v>
                </c:pt>
                <c:pt idx="50">
                  <c:v>68.506282067842392</c:v>
                </c:pt>
                <c:pt idx="51">
                  <c:v>68.950315154552328</c:v>
                </c:pt>
                <c:pt idx="52">
                  <c:v>69.386919719334585</c:v>
                </c:pt>
                <c:pt idx="53">
                  <c:v>69.816115445207757</c:v>
                </c:pt>
                <c:pt idx="54">
                  <c:v>70.237928725429072</c:v>
                </c:pt>
                <c:pt idx="55">
                  <c:v>70.652392275555499</c:v>
                </c:pt>
                <c:pt idx="56">
                  <c:v>71.059544751188014</c:v>
                </c:pt>
                <c:pt idx="57">
                  <c:v>71.459430372647958</c:v>
                </c:pt>
                <c:pt idx="58">
                  <c:v>71.852098557672335</c:v>
                </c:pt>
                <c:pt idx="59">
                  <c:v>72.237603563075851</c:v>
                </c:pt>
                <c:pt idx="60">
                  <c:v>72.616004136189076</c:v>
                </c:pt>
                <c:pt idx="61">
                  <c:v>72.987363176746257</c:v>
                </c:pt>
                <c:pt idx="62">
                  <c:v>73.351747409782149</c:v>
                </c:pt>
                <c:pt idx="63">
                  <c:v>73.709227069977757</c:v>
                </c:pt>
                <c:pt idx="64">
                  <c:v>74.059875597792796</c:v>
                </c:pt>
                <c:pt idx="65">
                  <c:v>74.403769347625442</c:v>
                </c:pt>
                <c:pt idx="66">
                  <c:v>74.74098730815389</c:v>
                </c:pt>
                <c:pt idx="67">
                  <c:v>75.071610834933338</c:v>
                </c:pt>
                <c:pt idx="68">
                  <c:v>75.395723395249917</c:v>
                </c:pt>
                <c:pt idx="69">
                  <c:v>75.713410325171949</c:v>
                </c:pt>
                <c:pt idx="70">
                  <c:v>76.024758598680037</c:v>
                </c:pt>
                <c:pt idx="71">
                  <c:v>76.329856608708383</c:v>
                </c:pt>
                <c:pt idx="72">
                  <c:v>76.62879395988891</c:v>
                </c:pt>
                <c:pt idx="73">
                  <c:v>76.921661272749645</c:v>
                </c:pt>
                <c:pt idx="74">
                  <c:v>77.208549999087836</c:v>
                </c:pt>
                <c:pt idx="75">
                  <c:v>77.489552248217322</c:v>
                </c:pt>
                <c:pt idx="76">
                  <c:v>77.764760623759344</c:v>
                </c:pt>
                <c:pt idx="77">
                  <c:v>78.034268070637182</c:v>
                </c:pt>
                <c:pt idx="78">
                  <c:v>78.298167731917772</c:v>
                </c:pt>
                <c:pt idx="79">
                  <c:v>78.556552815133756</c:v>
                </c:pt>
                <c:pt idx="80">
                  <c:v>78.809516467716847</c:v>
                </c:pt>
                <c:pt idx="81">
                  <c:v>79.057151661164184</c:v>
                </c:pt>
                <c:pt idx="82">
                  <c:v>79.299551083564069</c:v>
                </c:pt>
                <c:pt idx="83">
                  <c:v>79.536807040105472</c:v>
                </c:pt>
                <c:pt idx="84">
                  <c:v>79.769011361199617</c:v>
                </c:pt>
                <c:pt idx="85">
                  <c:v>79.996255317847101</c:v>
                </c:pt>
                <c:pt idx="86">
                  <c:v>80.218629543891282</c:v>
                </c:pt>
                <c:pt idx="87">
                  <c:v>80.436223964803403</c:v>
                </c:pt>
                <c:pt idx="88">
                  <c:v>80.649127732657718</c:v>
                </c:pt>
                <c:pt idx="89">
                  <c:v>80.857429166959449</c:v>
                </c:pt>
                <c:pt idx="90">
                  <c:v>81.061215701003348</c:v>
                </c:pt>
                <c:pt idx="91">
                  <c:v>81.26057383344731</c:v>
                </c:pt>
                <c:pt idx="92">
                  <c:v>81.45558908479822</c:v>
                </c:pt>
                <c:pt idx="93">
                  <c:v>81.646345958518936</c:v>
                </c:pt>
                <c:pt idx="94">
                  <c:v>81.832927906475717</c:v>
                </c:pt>
                <c:pt idx="95">
                  <c:v>82.01541729845664</c:v>
                </c:pt>
                <c:pt idx="96">
                  <c:v>82.193895395504839</c:v>
                </c:pt>
                <c:pt idx="97">
                  <c:v>82.368442326819633</c:v>
                </c:pt>
                <c:pt idx="98">
                  <c:v>82.539137069991682</c:v>
                </c:pt>
                <c:pt idx="99">
                  <c:v>82.706057434348168</c:v>
                </c:pt>
                <c:pt idx="100">
                  <c:v>82.869280047195375</c:v>
                </c:pt>
                <c:pt idx="101">
                  <c:v>83.028880342757887</c:v>
                </c:pt>
                <c:pt idx="102">
                  <c:v>83.184932553620939</c:v>
                </c:pt>
                <c:pt idx="103">
                  <c:v>83.33750970449637</c:v>
                </c:pt>
                <c:pt idx="104">
                  <c:v>83.486683608139231</c:v>
                </c:pt>
                <c:pt idx="105">
                  <c:v>83.632524863253352</c:v>
                </c:pt>
                <c:pt idx="106">
                  <c:v>83.77510285423233</c:v>
                </c:pt>
                <c:pt idx="107">
                  <c:v>83.914485752591716</c:v>
                </c:pt>
                <c:pt idx="108">
                  <c:v>84.050740519955951</c:v>
                </c:pt>
                <c:pt idx="109">
                  <c:v>84.18393291247223</c:v>
                </c:pt>
                <c:pt idx="110">
                  <c:v>84.314127486530467</c:v>
                </c:pt>
                <c:pt idx="111">
                  <c:v>84.441387605676766</c:v>
                </c:pt>
                <c:pt idx="112">
                  <c:v>84.565775448613834</c:v>
                </c:pt>
                <c:pt idx="113">
                  <c:v>84.687352018188108</c:v>
                </c:pt>
                <c:pt idx="114">
                  <c:v>84.806177151272408</c:v>
                </c:pt>
                <c:pt idx="115">
                  <c:v>84.922309529454722</c:v>
                </c:pt>
                <c:pt idx="116">
                  <c:v>85.035806690452219</c:v>
                </c:pt>
                <c:pt idx="117">
                  <c:v>85.146725040175383</c:v>
                </c:pt>
                <c:pt idx="118">
                  <c:v>85.255119865369537</c:v>
                </c:pt>
                <c:pt idx="119">
                  <c:v>85.361045346768506</c:v>
                </c:pt>
                <c:pt idx="120">
                  <c:v>85.464554572698916</c:v>
                </c:pt>
                <c:pt idx="121">
                  <c:v>85.565699553076385</c:v>
                </c:pt>
                <c:pt idx="122">
                  <c:v>85.664531233741982</c:v>
                </c:pt>
                <c:pt idx="123">
                  <c:v>85.761099511088105</c:v>
                </c:pt>
                <c:pt idx="124">
                  <c:v>85.855453246928107</c:v>
                </c:pt>
                <c:pt idx="125">
                  <c:v>85.947640283567466</c:v>
                </c:pt>
                <c:pt idx="126">
                  <c:v>86.037707459036852</c:v>
                </c:pt>
                <c:pt idx="127">
                  <c:v>86.125700622450154</c:v>
                </c:pt>
                <c:pt idx="128">
                  <c:v>86.211664649454605</c:v>
                </c:pt>
                <c:pt idx="129">
                  <c:v>86.295643457741775</c:v>
                </c:pt>
                <c:pt idx="130">
                  <c:v>86.377680022590283</c:v>
                </c:pt>
                <c:pt idx="131">
                  <c:v>86.457816392414699</c:v>
                </c:pt>
                <c:pt idx="132">
                  <c:v>86.536093704296078</c:v>
                </c:pt>
                <c:pt idx="133">
                  <c:v>86.612552199472447</c:v>
                </c:pt>
                <c:pt idx="134">
                  <c:v>86.687231238768121</c:v>
                </c:pt>
                <c:pt idx="135">
                  <c:v>86.760169317944872</c:v>
                </c:pt>
                <c:pt idx="136">
                  <c:v>86.831404082956581</c:v>
                </c:pt>
                <c:pt idx="137">
                  <c:v>86.900972345093265</c:v>
                </c:pt>
                <c:pt idx="138">
                  <c:v>86.968910095999604</c:v>
                </c:pt>
                <c:pt idx="139">
                  <c:v>87.035252522556846</c:v>
                </c:pt>
                <c:pt idx="140">
                  <c:v>87.100034021615102</c:v>
                </c:pt>
                <c:pt idx="141">
                  <c:v>87.163288214567231</c:v>
                </c:pt>
                <c:pt idx="142">
                  <c:v>87.225047961754669</c:v>
                </c:pt>
                <c:pt idx="143">
                  <c:v>87.285345376697251</c:v>
                </c:pt>
                <c:pt idx="144">
                  <c:v>87.344211840140005</c:v>
                </c:pt>
                <c:pt idx="145">
                  <c:v>87.4016780139101</c:v>
                </c:pt>
                <c:pt idx="146">
                  <c:v>87.457773854579443</c:v>
                </c:pt>
                <c:pt idx="147">
                  <c:v>87.51252862692732</c:v>
                </c:pt>
                <c:pt idx="148">
                  <c:v>87.565970917199337</c:v>
                </c:pt>
                <c:pt idx="149">
                  <c:v>87.618128646159121</c:v>
                </c:pt>
                <c:pt idx="150">
                  <c:v>87.669029081930447</c:v>
                </c:pt>
                <c:pt idx="151">
                  <c:v>87.718698852626446</c:v>
                </c:pt>
                <c:pt idx="152">
                  <c:v>87.767163958765181</c:v>
                </c:pt>
                <c:pt idx="153">
                  <c:v>87.814449785469691</c:v>
                </c:pt>
                <c:pt idx="154">
                  <c:v>87.860581114451264</c:v>
                </c:pt>
                <c:pt idx="155">
                  <c:v>87.90558213577664</c:v>
                </c:pt>
                <c:pt idx="156">
                  <c:v>87.949476459417085</c:v>
                </c:pt>
                <c:pt idx="157">
                  <c:v>87.992287126581289</c:v>
                </c:pt>
                <c:pt idx="158">
                  <c:v>88.034036620831685</c:v>
                </c:pt>
                <c:pt idx="159">
                  <c:v>88.074746878984769</c:v>
                </c:pt>
                <c:pt idx="160">
                  <c:v>88.114439301796907</c:v>
                </c:pt>
                <c:pt idx="161">
                  <c:v>88.153134764436643</c:v>
                </c:pt>
                <c:pt idx="162">
                  <c:v>88.190853626744797</c:v>
                </c:pt>
                <c:pt idx="163">
                  <c:v>88.227615743284559</c:v>
                </c:pt>
                <c:pt idx="164">
                  <c:v>88.263440473182399</c:v>
                </c:pt>
                <c:pt idx="165">
                  <c:v>88.298346689763022</c:v>
                </c:pt>
                <c:pt idx="166">
                  <c:v>88.332352789979424</c:v>
                </c:pt>
                <c:pt idx="167">
                  <c:v>88.365476703641164</c:v>
                </c:pt>
                <c:pt idx="168">
                  <c:v>88.397735902442548</c:v>
                </c:pt>
                <c:pt idx="169">
                  <c:v>88.429147408793895</c:v>
                </c:pt>
                <c:pt idx="170">
                  <c:v>88.459727804458183</c:v>
                </c:pt>
                <c:pt idx="171">
                  <c:v>88.489493238995877</c:v>
                </c:pt>
                <c:pt idx="172">
                  <c:v>88.518459438020685</c:v>
                </c:pt>
                <c:pt idx="173">
                  <c:v>88.546641711269459</c:v>
                </c:pt>
                <c:pt idx="174">
                  <c:v>88.57405496048905</c:v>
                </c:pt>
                <c:pt idx="175">
                  <c:v>88.600713687143113</c:v>
                </c:pt>
                <c:pt idx="176">
                  <c:v>88.626631999942234</c:v>
                </c:pt>
                <c:pt idx="177">
                  <c:v>88.651823622200752</c:v>
                </c:pt>
                <c:pt idx="178">
                  <c:v>88.676301899022917</c:v>
                </c:pt>
                <c:pt idx="179">
                  <c:v>88.700079804322783</c:v>
                </c:pt>
                <c:pt idx="180">
                  <c:v>88.72316994768029</c:v>
                </c:pt>
                <c:pt idx="181">
                  <c:v>88.745584581038045</c:v>
                </c:pt>
                <c:pt idx="182">
                  <c:v>88.767335605241229</c:v>
                </c:pt>
                <c:pt idx="183">
                  <c:v>88.788434576425615</c:v>
                </c:pt>
                <c:pt idx="184">
                  <c:v>88.808892712256494</c:v>
                </c:pt>
                <c:pt idx="185">
                  <c:v>88.828720898022567</c:v>
                </c:pt>
                <c:pt idx="186">
                  <c:v>88.84792969258919</c:v>
                </c:pt>
                <c:pt idx="187">
                  <c:v>88.866529334214221</c:v>
                </c:pt>
                <c:pt idx="188">
                  <c:v>88.884529746231252</c:v>
                </c:pt>
                <c:pt idx="189">
                  <c:v>88.901940542604152</c:v>
                </c:pt>
                <c:pt idx="190">
                  <c:v>88.918771033357089</c:v>
                </c:pt>
                <c:pt idx="191">
                  <c:v>88.935030229885001</c:v>
                </c:pt>
                <c:pt idx="192">
                  <c:v>88.95072685014847</c:v>
                </c:pt>
                <c:pt idx="193">
                  <c:v>88.965869323758326</c:v>
                </c:pt>
                <c:pt idx="194">
                  <c:v>88.980465796954178</c:v>
                </c:pt>
                <c:pt idx="195">
                  <c:v>88.99452413748287</c:v>
                </c:pt>
                <c:pt idx="196">
                  <c:v>89.008051939380948</c:v>
                </c:pt>
                <c:pt idx="197">
                  <c:v>89.021056527667625</c:v>
                </c:pt>
                <c:pt idx="198">
                  <c:v>89.033544962953059</c:v>
                </c:pt>
                <c:pt idx="199">
                  <c:v>89.045524045968492</c:v>
                </c:pt>
                <c:pt idx="200">
                  <c:v>89.057000322023541</c:v>
                </c:pt>
                <c:pt idx="201">
                  <c:v>89.067980085398062</c:v>
                </c:pt>
                <c:pt idx="202">
                  <c:v>89.078469383674332</c:v>
                </c:pt>
                <c:pt idx="203">
                  <c:v>89.088474022016868</c:v>
                </c:pt>
                <c:pt idx="204">
                  <c:v>89.097999567407683</c:v>
                </c:pt>
                <c:pt idx="205">
                  <c:v>89.107051352843456</c:v>
                </c:pt>
                <c:pt idx="206">
                  <c:v>89.115634481504529</c:v>
                </c:pt>
                <c:pt idx="207">
                  <c:v>89.123753830901933</c:v>
                </c:pt>
                <c:pt idx="208">
                  <c:v>89.131414057013842</c:v>
                </c:pt>
                <c:pt idx="209">
                  <c:v>89.138619598418984</c:v>
                </c:pt>
                <c:pt idx="210">
                  <c:v>89.14537468043811</c:v>
                </c:pt>
                <c:pt idx="211">
                  <c:v>89.151683319293667</c:v>
                </c:pt>
                <c:pt idx="212">
                  <c:v>89.157549326298906</c:v>
                </c:pt>
                <c:pt idx="213">
                  <c:v>89.162976312088475</c:v>
                </c:pt>
                <c:pt idx="214">
                  <c:v>89.167967690902984</c:v>
                </c:pt>
                <c:pt idx="215">
                  <c:v>89.172526684940536</c:v>
                </c:pt>
                <c:pt idx="216">
                  <c:v>89.176656328789932</c:v>
                </c:pt>
                <c:pt idx="217">
                  <c:v>89.180359473960365</c:v>
                </c:pt>
                <c:pt idx="218">
                  <c:v>89.183638793523372</c:v>
                </c:pt>
                <c:pt idx="219">
                  <c:v>89.186496786884589</c:v>
                </c:pt>
                <c:pt idx="220">
                  <c:v>89.188935784702608</c:v>
                </c:pt>
                <c:pt idx="221">
                  <c:v>89.190957953975499</c:v>
                </c:pt>
                <c:pt idx="222">
                  <c:v>89.192565303313586</c:v>
                </c:pt>
                <c:pt idx="223">
                  <c:v>89.193759688422702</c:v>
                </c:pt>
                <c:pt idx="224">
                  <c:v>89.194542817819141</c:v>
                </c:pt>
                <c:pt idx="225">
                  <c:v>89.19491625880228</c:v>
                </c:pt>
                <c:pt idx="226">
                  <c:v>89.194881443711353</c:v>
                </c:pt>
                <c:pt idx="227">
                  <c:v>89.194439676493914</c:v>
                </c:pt>
                <c:pt idx="228">
                  <c:v>89.19359213961701</c:v>
                </c:pt>
                <c:pt idx="229">
                  <c:v>89.19233990135227</c:v>
                </c:pt>
                <c:pt idx="230">
                  <c:v>89.190683923470317</c:v>
                </c:pt>
                <c:pt idx="231">
                  <c:v>89.188625069379754</c:v>
                </c:pt>
                <c:pt idx="232">
                  <c:v>89.186164112750845</c:v>
                </c:pt>
                <c:pt idx="233">
                  <c:v>89.183301746665066</c:v>
                </c:pt>
                <c:pt idx="234">
                  <c:v>89.180038593334757</c:v>
                </c:pt>
                <c:pt idx="235">
                  <c:v>89.176375214440625</c:v>
                </c:pt>
                <c:pt idx="236">
                  <c:v>89.172312122137427</c:v>
                </c:pt>
                <c:pt idx="237">
                  <c:v>89.167849790782057</c:v>
                </c:pt>
                <c:pt idx="238">
                  <c:v>89.162988669440608</c:v>
                </c:pt>
                <c:pt idx="239">
                  <c:v>89.157729195237437</c:v>
                </c:pt>
                <c:pt idx="240">
                  <c:v>89.152071807609687</c:v>
                </c:pt>
                <c:pt idx="241">
                  <c:v>89.146016963538415</c:v>
                </c:pt>
                <c:pt idx="242">
                  <c:v>89.139565153830276</c:v>
                </c:pt>
                <c:pt idx="243">
                  <c:v>89.132716920528438</c:v>
                </c:pt>
                <c:pt idx="244">
                  <c:v>89.125472875537938</c:v>
                </c:pt>
                <c:pt idx="245">
                  <c:v>89.117833720554756</c:v>
                </c:pt>
                <c:pt idx="246">
                  <c:v>89.109800268394821</c:v>
                </c:pt>
                <c:pt idx="247">
                  <c:v>89.101373465824665</c:v>
                </c:pt>
                <c:pt idx="248">
                  <c:v>89.092554418001967</c:v>
                </c:pt>
                <c:pt idx="249">
                  <c:v>89.083344414642369</c:v>
                </c:pt>
                <c:pt idx="250">
                  <c:v>89.07374495803397</c:v>
                </c:pt>
                <c:pt idx="251">
                  <c:v>89.063757793031684</c:v>
                </c:pt>
                <c:pt idx="252">
                  <c:v>89.053384939168808</c:v>
                </c:pt>
                <c:pt idx="253">
                  <c:v>89.042628725034277</c:v>
                </c:pt>
                <c:pt idx="254">
                  <c:v>89.031491825071981</c:v>
                </c:pt>
                <c:pt idx="255">
                  <c:v>89.019977298967575</c:v>
                </c:pt>
                <c:pt idx="256">
                  <c:v>89.008088633800824</c:v>
                </c:pt>
                <c:pt idx="257">
                  <c:v>88.995829789148544</c:v>
                </c:pt>
                <c:pt idx="258">
                  <c:v>88.983205245338212</c:v>
                </c:pt>
                <c:pt idx="259">
                  <c:v>88.970220055060508</c:v>
                </c:pt>
                <c:pt idx="260">
                  <c:v>88.956879898564736</c:v>
                </c:pt>
                <c:pt idx="261">
                  <c:v>88.943191142670386</c:v>
                </c:pt>
                <c:pt idx="262">
                  <c:v>88.929160903845172</c:v>
                </c:pt>
                <c:pt idx="263">
                  <c:v>88.914797115610455</c:v>
                </c:pt>
                <c:pt idx="264">
                  <c:v>88.900108600552656</c:v>
                </c:pt>
                <c:pt idx="265">
                  <c:v>88.885105147231712</c:v>
                </c:pt>
                <c:pt idx="266">
                  <c:v>88.869797592294518</c:v>
                </c:pt>
                <c:pt idx="267">
                  <c:v>88.854197908118664</c:v>
                </c:pt>
                <c:pt idx="268">
                  <c:v>88.838319296325892</c:v>
                </c:pt>
                <c:pt idx="269">
                  <c:v>88.822176287523604</c:v>
                </c:pt>
                <c:pt idx="270">
                  <c:v>88.805784847650528</c:v>
                </c:pt>
                <c:pt idx="271">
                  <c:v>88.78916249132007</c:v>
                </c:pt>
                <c:pt idx="272">
                  <c:v>88.772328402572143</c:v>
                </c:pt>
                <c:pt idx="273">
                  <c:v>88.755303563464977</c:v>
                </c:pt>
                <c:pt idx="274">
                  <c:v>88.73811089095642</c:v>
                </c:pt>
                <c:pt idx="275">
                  <c:v>88.720775382539657</c:v>
                </c:pt>
                <c:pt idx="276">
                  <c:v>88.703324271123677</c:v>
                </c:pt>
                <c:pt idx="277">
                  <c:v>88.685787189658754</c:v>
                </c:pt>
                <c:pt idx="278">
                  <c:v>88.668196346032289</c:v>
                </c:pt>
                <c:pt idx="279">
                  <c:v>88.650586708773915</c:v>
                </c:pt>
                <c:pt idx="280">
                  <c:v>88.63299620412289</c:v>
                </c:pt>
                <c:pt idx="281">
                  <c:v>88.615465925034044</c:v>
                </c:pt>
                <c:pt idx="282">
                  <c:v>88.598040352700338</c:v>
                </c:pt>
                <c:pt idx="283">
                  <c:v>88.580767591194856</c:v>
                </c:pt>
                <c:pt idx="284">
                  <c:v>88.563699615832221</c:v>
                </c:pt>
                <c:pt idx="285">
                  <c:v>88.546892535868153</c:v>
                </c:pt>
                <c:pt idx="286">
                  <c:v>88.530406872150024</c:v>
                </c:pt>
                <c:pt idx="287">
                  <c:v>88.514307850337417</c:v>
                </c:pt>
                <c:pt idx="288">
                  <c:v>88.498665710307392</c:v>
                </c:pt>
                <c:pt idx="289">
                  <c:v>88.48355603234539</c:v>
                </c:pt>
                <c:pt idx="290">
                  <c:v>88.46906008071619</c:v>
                </c:pt>
                <c:pt idx="291">
                  <c:v>88.455265165179554</c:v>
                </c:pt>
                <c:pt idx="292">
                  <c:v>88.442265020992934</c:v>
                </c:pt>
                <c:pt idx="293">
                  <c:v>88.430160207905232</c:v>
                </c:pt>
                <c:pt idx="294">
                  <c:v>88.419058528596167</c:v>
                </c:pt>
                <c:pt idx="295">
                  <c:v>88.409075466963017</c:v>
                </c:pt>
                <c:pt idx="296">
                  <c:v>88.400334646583573</c:v>
                </c:pt>
                <c:pt idx="297">
                  <c:v>88.39296830960437</c:v>
                </c:pt>
                <c:pt idx="298">
                  <c:v>88.387117816202476</c:v>
                </c:pt>
                <c:pt idx="299">
                  <c:v>88.382934164657243</c:v>
                </c:pt>
                <c:pt idx="300">
                  <c:v>88.380578531932073</c:v>
                </c:pt>
                <c:pt idx="301">
                  <c:v>88.380222834516928</c:v>
                </c:pt>
                <c:pt idx="302">
                  <c:v>88.382050309098346</c:v>
                </c:pt>
                <c:pt idx="303">
                  <c:v>88.386256112429891</c:v>
                </c:pt>
                <c:pt idx="304">
                  <c:v>88.39304793953842</c:v>
                </c:pt>
                <c:pt idx="305">
                  <c:v>88.402646659144793</c:v>
                </c:pt>
                <c:pt idx="306">
                  <c:v>88.4152869648875</c:v>
                </c:pt>
                <c:pt idx="307">
                  <c:v>88.431218040594089</c:v>
                </c:pt>
                <c:pt idx="308">
                  <c:v>88.450704237490939</c:v>
                </c:pt>
                <c:pt idx="309">
                  <c:v>88.474025760813561</c:v>
                </c:pt>
                <c:pt idx="310">
                  <c:v>88.501479362825776</c:v>
                </c:pt>
                <c:pt idx="311">
                  <c:v>88.5333790387363</c:v>
                </c:pt>
                <c:pt idx="312">
                  <c:v>88.57005672143579</c:v>
                </c:pt>
                <c:pt idx="313">
                  <c:v>88.611862970342514</c:v>
                </c:pt>
                <c:pt idx="314">
                  <c:v>88.659167648952732</c:v>
                </c:pt>
                <c:pt idx="315">
                  <c:v>88.712360584920106</c:v>
                </c:pt>
                <c:pt idx="316">
                  <c:v>88.771852205652621</c:v>
                </c:pt>
                <c:pt idx="317">
                  <c:v>88.838074141489571</c:v>
                </c:pt>
                <c:pt idx="318">
                  <c:v>88.911479787515816</c:v>
                </c:pt>
                <c:pt idx="319">
                  <c:v>88.992544813972273</c:v>
                </c:pt>
                <c:pt idx="320">
                  <c:v>89.081767614034717</c:v>
                </c:pt>
                <c:pt idx="321">
                  <c:v>89.179669676440511</c:v>
                </c:pt>
                <c:pt idx="322">
                  <c:v>89.286795869061393</c:v>
                </c:pt>
                <c:pt idx="323">
                  <c:v>89.403714618022178</c:v>
                </c:pt>
                <c:pt idx="324">
                  <c:v>89.531017965395876</c:v>
                </c:pt>
                <c:pt idx="325">
                  <c:v>89.669321486804108</c:v>
                </c:pt>
                <c:pt idx="326">
                  <c:v>89.819264048498496</c:v>
                </c:pt>
                <c:pt idx="327">
                  <c:v>89.981507381643809</c:v>
                </c:pt>
                <c:pt idx="328">
                  <c:v>90.156735449630048</c:v>
                </c:pt>
                <c:pt idx="329">
                  <c:v>90.345653582306966</c:v>
                </c:pt>
                <c:pt idx="330">
                  <c:v>90.54898734910094</c:v>
                </c:pt>
                <c:pt idx="331">
                  <c:v>90.76748114110309</c:v>
                </c:pt>
                <c:pt idx="332">
                  <c:v>91.001896430443082</c:v>
                </c:pt>
                <c:pt idx="333">
                  <c:v>91.253009673671997</c:v>
                </c:pt>
                <c:pt idx="334">
                  <c:v>91.521609824571257</c:v>
                </c:pt>
                <c:pt idx="335">
                  <c:v>91.808495420869377</c:v>
                </c:pt>
                <c:pt idx="336">
                  <c:v>92.11447120894664</c:v>
                </c:pt>
                <c:pt idx="337">
                  <c:v>92.440344270904504</c:v>
                </c:pt>
                <c:pt idx="338">
                  <c:v>92.78691961948698</c:v>
                </c:pt>
                <c:pt idx="339">
                  <c:v>93.154995228621473</c:v>
                </c:pt>
                <c:pt idx="340">
                  <c:v>93.545356470838797</c:v>
                </c:pt>
                <c:pt idx="341">
                  <c:v>93.958769938009638</c:v>
                </c:pt>
                <c:pt idx="342">
                  <c:v>94.395976628759698</c:v>
                </c:pt>
                <c:pt idx="343">
                  <c:v>94.85768449504684</c:v>
                </c:pt>
                <c:pt idx="344">
                  <c:v>95.344560351863393</c:v>
                </c:pt>
                <c:pt idx="345">
                  <c:v>95.857221168124724</c:v>
                </c:pt>
                <c:pt idx="346">
                  <c:v>96.396224773756501</c:v>
                </c:pt>
                <c:pt idx="347">
                  <c:v>96.962060037785378</c:v>
                </c:pt>
                <c:pt idx="348">
                  <c:v>97.555136594988667</c:v>
                </c:pt>
                <c:pt idx="349">
                  <c:v>98.175774224049391</c:v>
                </c:pt>
                <c:pt idx="350">
                  <c:v>98.824192007907683</c:v>
                </c:pt>
                <c:pt idx="351">
                  <c:v>99.500497436430678</c:v>
                </c:pt>
                <c:pt idx="352">
                  <c:v>100.20467564171889</c:v>
                </c:pt>
                <c:pt idx="353">
                  <c:v>100.93657898619487</c:v>
                </c:pt>
                <c:pt idx="354">
                  <c:v>101.69591725148993</c:v>
                </c:pt>
                <c:pt idx="355">
                  <c:v>102.48224870034936</c:v>
                </c:pt>
                <c:pt idx="356">
                  <c:v>103.29497230226416</c:v>
                </c:pt>
                <c:pt idx="357">
                  <c:v>104.13332142418761</c:v>
                </c:pt>
                <c:pt idx="358">
                  <c:v>104.99635928834564</c:v>
                </c:pt>
                <c:pt idx="359">
                  <c:v>105.88297648786224</c:v>
                </c:pt>
                <c:pt idx="360">
                  <c:v>106.79189082606256</c:v>
                </c:pt>
                <c:pt idx="361">
                  <c:v>107.72164970588676</c:v>
                </c:pt>
                <c:pt idx="362">
                  <c:v>108.67063524162184</c:v>
                </c:pt>
                <c:pt idx="363">
                  <c:v>109.6370721969262</c:v>
                </c:pt>
                <c:pt idx="364">
                  <c:v>110.61903877264079</c:v>
                </c:pt>
                <c:pt idx="365">
                  <c:v>111.61448017824247</c:v>
                </c:pt>
                <c:pt idx="366">
                  <c:v>112.62122482585757</c:v>
                </c:pt>
                <c:pt idx="367">
                  <c:v>113.63700289043911</c:v>
                </c:pt>
                <c:pt idx="368">
                  <c:v>114.65946688932029</c:v>
                </c:pt>
                <c:pt idx="369">
                  <c:v>115.68621385430396</c:v>
                </c:pt>
                <c:pt idx="370">
                  <c:v>116.71480860488124</c:v>
                </c:pt>
                <c:pt idx="371">
                  <c:v>117.74280758626772</c:v>
                </c:pt>
                <c:pt idx="372">
                  <c:v>118.76778271382372</c:v>
                </c:pt>
                <c:pt idx="373">
                  <c:v>119.78734466752022</c:v>
                </c:pt>
                <c:pt idx="374">
                  <c:v>120.79916510629378</c:v>
                </c:pt>
                <c:pt idx="375">
                  <c:v>121.80099732056216</c:v>
                </c:pt>
                <c:pt idx="376">
                  <c:v>122.79069490853063</c:v>
                </c:pt>
                <c:pt idx="377">
                  <c:v>123.76622814374026</c:v>
                </c:pt>
                <c:pt idx="378">
                  <c:v>124.72569779244098</c:v>
                </c:pt>
                <c:pt idx="379">
                  <c:v>125.66734623431766</c:v>
                </c:pt>
                <c:pt idx="380">
                  <c:v>126.58956583362951</c:v>
                </c:pt>
                <c:pt idx="381">
                  <c:v>127.49090459528455</c:v>
                </c:pt>
                <c:pt idx="382">
                  <c:v>128.37006921791576</c:v>
                </c:pt>
                <c:pt idx="383">
                  <c:v>129.22592572101661</c:v>
                </c:pt>
                <c:pt idx="384">
                  <c:v>130.05749787391878</c:v>
                </c:pt>
                <c:pt idx="385">
                  <c:v>130.86396369039613</c:v>
                </c:pt>
                <c:pt idx="386">
                  <c:v>131.64465027431558</c:v>
                </c:pt>
                <c:pt idx="387">
                  <c:v>132.39902731020018</c:v>
                </c:pt>
                <c:pt idx="388">
                  <c:v>133.12669948949056</c:v>
                </c:pt>
                <c:pt idx="389">
                  <c:v>133.82739815077358</c:v>
                </c:pt>
                <c:pt idx="390">
                  <c:v>134.50097239235239</c:v>
                </c:pt>
                <c:pt idx="391">
                  <c:v>135.14737989047612</c:v>
                </c:pt>
                <c:pt idx="392">
                  <c:v>135.76667762823007</c:v>
                </c:pt>
                <c:pt idx="393">
                  <c:v>136.35901271025864</c:v>
                </c:pt>
                <c:pt idx="394">
                  <c:v>136.92461340858762</c:v>
                </c:pt>
                <c:pt idx="395">
                  <c:v>137.46378055596088</c:v>
                </c:pt>
                <c:pt idx="396">
                  <c:v>137.97687937615086</c:v>
                </c:pt>
                <c:pt idx="397">
                  <c:v>138.46433181618417</c:v>
                </c:pt>
                <c:pt idx="398">
                  <c:v>138.92660942373141</c:v>
                </c:pt>
                <c:pt idx="399">
                  <c:v>139.36422679410404</c:v>
                </c:pt>
                <c:pt idx="400">
                  <c:v>139.77773559545466</c:v>
                </c:pt>
                <c:pt idx="401">
                  <c:v>140.16771916768374</c:v>
                </c:pt>
                <c:pt idx="402">
                  <c:v>140.53478768008353</c:v>
                </c:pt>
                <c:pt idx="403">
                  <c:v>140.87957382459325</c:v>
                </c:pt>
                <c:pt idx="404">
                  <c:v>141.20272901545923</c:v>
                </c:pt>
                <c:pt idx="405">
                  <c:v>141.50492006178121</c:v>
                </c:pt>
                <c:pt idx="406">
                  <c:v>141.78682627663801</c:v>
                </c:pt>
                <c:pt idx="407">
                  <c:v>142.04913698493093</c:v>
                </c:pt>
                <c:pt idx="408">
                  <c:v>142.29254939155666</c:v>
                </c:pt>
                <c:pt idx="409">
                  <c:v>142.5177667718043</c:v>
                </c:pt>
                <c:pt idx="410">
                  <c:v>142.725496946769</c:v>
                </c:pt>
                <c:pt idx="411">
                  <c:v>142.91645100797444</c:v>
                </c:pt>
                <c:pt idx="412">
                  <c:v>143.09134225710824</c:v>
                </c:pt>
                <c:pt idx="413">
                  <c:v>143.25088532875904</c:v>
                </c:pt>
                <c:pt idx="414">
                  <c:v>143.39579546616577</c:v>
                </c:pt>
                <c:pt idx="415">
                  <c:v>143.52678792219322</c:v>
                </c:pt>
                <c:pt idx="416">
                  <c:v>143.64457746001486</c:v>
                </c:pt>
                <c:pt idx="417">
                  <c:v>143.7498779302135</c:v>
                </c:pt>
                <c:pt idx="418">
                  <c:v>143.84340190322627</c:v>
                </c:pt>
                <c:pt idx="419">
                  <c:v>143.92586033822502</c:v>
                </c:pt>
                <c:pt idx="420">
                  <c:v>143.99796227159828</c:v>
                </c:pt>
                <c:pt idx="421">
                  <c:v>144.06041451022782</c:v>
                </c:pt>
                <c:pt idx="422">
                  <c:v>144.11392131666631</c:v>
                </c:pt>
                <c:pt idx="423">
                  <c:v>144.15918407517617</c:v>
                </c:pt>
                <c:pt idx="424">
                  <c:v>144.19690092933661</c:v>
                </c:pt>
                <c:pt idx="425">
                  <c:v>144.22776638359176</c:v>
                </c:pt>
                <c:pt idx="426">
                  <c:v>144.25247086269675</c:v>
                </c:pt>
                <c:pt idx="427">
                  <c:v>144.27170022450022</c:v>
                </c:pt>
                <c:pt idx="428">
                  <c:v>144.28613522290797</c:v>
                </c:pt>
                <c:pt idx="429">
                  <c:v>144.2964509191948</c:v>
                </c:pt>
                <c:pt idx="430">
                  <c:v>144.30331604104185</c:v>
                </c:pt>
                <c:pt idx="431">
                  <c:v>144.30739228982878</c:v>
                </c:pt>
                <c:pt idx="432">
                  <c:v>144.30933359775472</c:v>
                </c:pt>
                <c:pt idx="433">
                  <c:v>144.30978533730922</c:v>
                </c:pt>
                <c:pt idx="434">
                  <c:v>144.30938348648908</c:v>
                </c:pt>
                <c:pt idx="435">
                  <c:v>144.30875375392242</c:v>
                </c:pt>
                <c:pt idx="436">
                  <c:v>144.30851066873262</c:v>
                </c:pt>
                <c:pt idx="437">
                  <c:v>144.30925664056394</c:v>
                </c:pt>
                <c:pt idx="438">
                  <c:v>144.31158099567034</c:v>
                </c:pt>
                <c:pt idx="439">
                  <c:v>144.31605899536601</c:v>
                </c:pt>
                <c:pt idx="440">
                  <c:v>144.32325084343859</c:v>
                </c:pt>
                <c:pt idx="441">
                  <c:v>144.33370068933664</c:v>
                </c:pt>
                <c:pt idx="442">
                  <c:v>144.34793563407484</c:v>
                </c:pt>
                <c:pt idx="443">
                  <c:v>144.36646474584688</c:v>
                </c:pt>
                <c:pt idx="444">
                  <c:v>144.38977809230826</c:v>
                </c:pt>
                <c:pt idx="445">
                  <c:v>144.41834579639325</c:v>
                </c:pt>
                <c:pt idx="446">
                  <c:v>144.45261712236774</c:v>
                </c:pt>
                <c:pt idx="447">
                  <c:v>144.49301959860554</c:v>
                </c:pt>
                <c:pt idx="448">
                  <c:v>144.5399581833052</c:v>
                </c:pt>
                <c:pt idx="449">
                  <c:v>144.59381447904661</c:v>
                </c:pt>
                <c:pt idx="450">
                  <c:v>144.65494600175279</c:v>
                </c:pt>
                <c:pt idx="451">
                  <c:v>144.72368550922693</c:v>
                </c:pt>
                <c:pt idx="452">
                  <c:v>144.80034039405299</c:v>
                </c:pt>
                <c:pt idx="453">
                  <c:v>144.88519214520207</c:v>
                </c:pt>
                <c:pt idx="454">
                  <c:v>144.97849588228399</c:v>
                </c:pt>
                <c:pt idx="455">
                  <c:v>145.08047996590955</c:v>
                </c:pt>
                <c:pt idx="456">
                  <c:v>145.19134568720449</c:v>
                </c:pt>
                <c:pt idx="457">
                  <c:v>145.31126703904954</c:v>
                </c:pt>
                <c:pt idx="458">
                  <c:v>145.44039057116657</c:v>
                </c:pt>
                <c:pt idx="459">
                  <c:v>145.57883533072558</c:v>
                </c:pt>
                <c:pt idx="460">
                  <c:v>145.72669288968356</c:v>
                </c:pt>
                <c:pt idx="461">
                  <c:v>145.88402745961062</c:v>
                </c:pt>
                <c:pt idx="462">
                  <c:v>146.0508760943186</c:v>
                </c:pt>
                <c:pt idx="463">
                  <c:v>146.22724898012703</c:v>
                </c:pt>
                <c:pt idx="464">
                  <c:v>146.41312981317418</c:v>
                </c:pt>
                <c:pt idx="465">
                  <c:v>146.60847626269958</c:v>
                </c:pt>
                <c:pt idx="466">
                  <c:v>146.813220518782</c:v>
                </c:pt>
                <c:pt idx="467">
                  <c:v>147.02726992255009</c:v>
                </c:pt>
                <c:pt idx="468">
                  <c:v>147.25050767642361</c:v>
                </c:pt>
                <c:pt idx="469">
                  <c:v>147.48279363149109</c:v>
                </c:pt>
                <c:pt idx="470">
                  <c:v>147.72396514866711</c:v>
                </c:pt>
                <c:pt idx="471">
                  <c:v>147.97383802983293</c:v>
                </c:pt>
                <c:pt idx="472">
                  <c:v>148.23220751471777</c:v>
                </c:pt>
                <c:pt idx="473">
                  <c:v>148.49884933886329</c:v>
                </c:pt>
                <c:pt idx="474">
                  <c:v>148.773520847599</c:v>
                </c:pt>
                <c:pt idx="475">
                  <c:v>149.0559621605822</c:v>
                </c:pt>
                <c:pt idx="476">
                  <c:v>149.34589738110427</c:v>
                </c:pt>
                <c:pt idx="477">
                  <c:v>149.64303584403899</c:v>
                </c:pt>
                <c:pt idx="478">
                  <c:v>149.94707339604608</c:v>
                </c:pt>
                <c:pt idx="479">
                  <c:v>150.25769370140176</c:v>
                </c:pt>
                <c:pt idx="480">
                  <c:v>150.57456956666002</c:v>
                </c:pt>
                <c:pt idx="481">
                  <c:v>150.89736427720956</c:v>
                </c:pt>
                <c:pt idx="482">
                  <c:v>151.22573293874802</c:v>
                </c:pt>
                <c:pt idx="483">
                  <c:v>151.5593238166756</c:v>
                </c:pt>
                <c:pt idx="484">
                  <c:v>151.8977796664856</c:v>
                </c:pt>
                <c:pt idx="485">
                  <c:v>152.24073904834589</c:v>
                </c:pt>
                <c:pt idx="486">
                  <c:v>152.58783761927037</c:v>
                </c:pt>
                <c:pt idx="487">
                  <c:v>152.93870939651916</c:v>
                </c:pt>
                <c:pt idx="488">
                  <c:v>153.29298798619166</c:v>
                </c:pt>
                <c:pt idx="489">
                  <c:v>153.65030777134402</c:v>
                </c:pt>
                <c:pt idx="490">
                  <c:v>154.0103050543795</c:v>
                </c:pt>
                <c:pt idx="491">
                  <c:v>154.37261914892903</c:v>
                </c:pt>
                <c:pt idx="492">
                  <c:v>154.73689341694612</c:v>
                </c:pt>
                <c:pt idx="493">
                  <c:v>155.10277624726763</c:v>
                </c:pt>
                <c:pt idx="494">
                  <c:v>155.46992197246061</c:v>
                </c:pt>
                <c:pt idx="495">
                  <c:v>155.83799172133465</c:v>
                </c:pt>
                <c:pt idx="496">
                  <c:v>156.20665420509056</c:v>
                </c:pt>
                <c:pt idx="497">
                  <c:v>156.57558643565531</c:v>
                </c:pt>
                <c:pt idx="498">
                  <c:v>156.94447437530985</c:v>
                </c:pt>
                <c:pt idx="499">
                  <c:v>157.31301351729024</c:v>
                </c:pt>
                <c:pt idx="500">
                  <c:v>157.68090939756186</c:v>
                </c:pt>
                <c:pt idx="501">
                  <c:v>158.04787803847273</c:v>
                </c:pt>
                <c:pt idx="502">
                  <c:v>158.41364632546899</c:v>
                </c:pt>
                <c:pt idx="503">
                  <c:v>158.77795231847909</c:v>
                </c:pt>
                <c:pt idx="504">
                  <c:v>159.14054549997437</c:v>
                </c:pt>
                <c:pt idx="505">
                  <c:v>159.50118696205615</c:v>
                </c:pt>
                <c:pt idx="506">
                  <c:v>159.85964953522588</c:v>
                </c:pt>
                <c:pt idx="507">
                  <c:v>160.2157178617536</c:v>
                </c:pt>
                <c:pt idx="508">
                  <c:v>160.56918841676784</c:v>
                </c:pt>
                <c:pt idx="509">
                  <c:v>160.91986948036103</c:v>
                </c:pt>
                <c:pt idx="510">
                  <c:v>161.26758106412711</c:v>
                </c:pt>
                <c:pt idx="511">
                  <c:v>161.61215479562881</c:v>
                </c:pt>
                <c:pt idx="512">
                  <c:v>161.95343376433163</c:v>
                </c:pt>
                <c:pt idx="513">
                  <c:v>162.29127233255605</c:v>
                </c:pt>
                <c:pt idx="514">
                  <c:v>162.62553591496209</c:v>
                </c:pt>
                <c:pt idx="515">
                  <c:v>162.9561007300305</c:v>
                </c:pt>
                <c:pt idx="516">
                  <c:v>163.28285352691751</c:v>
                </c:pt>
                <c:pt idx="517">
                  <c:v>163.60569129095276</c:v>
                </c:pt>
                <c:pt idx="518">
                  <c:v>163.92452093092871</c:v>
                </c:pt>
                <c:pt idx="519">
                  <c:v>164.23925895117867</c:v>
                </c:pt>
                <c:pt idx="520">
                  <c:v>164.54983111129062</c:v>
                </c:pt>
                <c:pt idx="521">
                  <c:v>164.85617207613927</c:v>
                </c:pt>
                <c:pt idx="522">
                  <c:v>165.15822505873797</c:v>
                </c:pt>
                <c:pt idx="523">
                  <c:v>165.45594145824504</c:v>
                </c:pt>
                <c:pt idx="524">
                  <c:v>165.74928049527188</c:v>
                </c:pt>
                <c:pt idx="525">
                  <c:v>166.03820884646183</c:v>
                </c:pt>
                <c:pt idx="526">
                  <c:v>166.32270028013568</c:v>
                </c:pt>
                <c:pt idx="527">
                  <c:v>166.60273529461872</c:v>
                </c:pt>
                <c:pt idx="528">
                  <c:v>166.87830076070179</c:v>
                </c:pt>
                <c:pt idx="529">
                  <c:v>167.14938956952045</c:v>
                </c:pt>
                <c:pt idx="530">
                  <c:v>167.41600028698389</c:v>
                </c:pt>
                <c:pt idx="531">
                  <c:v>167.67813681573401</c:v>
                </c:pt>
                <c:pt idx="532">
                  <c:v>167.9358080654782</c:v>
                </c:pt>
                <c:pt idx="533">
                  <c:v>168.18902763240675</c:v>
                </c:pt>
                <c:pt idx="534">
                  <c:v>168.43781348828063</c:v>
                </c:pt>
                <c:pt idx="535">
                  <c:v>168.68218767966891</c:v>
                </c:pt>
                <c:pt idx="536">
                  <c:v>168.92217603770195</c:v>
                </c:pt>
                <c:pt idx="537">
                  <c:v>169.15780789861867</c:v>
                </c:pt>
                <c:pt idx="538">
                  <c:v>169.38911583529526</c:v>
                </c:pt>
                <c:pt idx="539">
                  <c:v>169.61613539986359</c:v>
                </c:pt>
                <c:pt idx="540">
                  <c:v>169.83890487745953</c:v>
                </c:pt>
                <c:pt idx="541">
                  <c:v>170.05746505107828</c:v>
                </c:pt>
              </c:numCache>
            </c:numRef>
          </c:yVal>
          <c:smooth val="1"/>
          <c:extLst>
            <c:ext xmlns:c16="http://schemas.microsoft.com/office/drawing/2014/chart" uri="{C3380CC4-5D6E-409C-BE32-E72D297353CC}">
              <c16:uniqueId val="{0000000B-2470-421C-8EF3-DF4BAC2DF802}"/>
            </c:ext>
          </c:extLst>
        </c:ser>
        <c:dLbls>
          <c:showLegendKey val="0"/>
          <c:showVal val="0"/>
          <c:showCatName val="0"/>
          <c:showSerName val="0"/>
          <c:showPercent val="0"/>
          <c:showBubbleSize val="0"/>
        </c:dLbls>
        <c:axId val="144838016"/>
        <c:axId val="144836096"/>
      </c:scatterChart>
      <c:valAx>
        <c:axId val="144369152"/>
        <c:scaling>
          <c:logBase val="10"/>
          <c:orientation val="minMax"/>
          <c:max val="2000000"/>
          <c:min val="1"/>
        </c:scaling>
        <c:delete val="0"/>
        <c:axPos val="b"/>
        <c:majorGridlines/>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txPr>
          <a:bodyPr/>
          <a:lstStyle/>
          <a:p>
            <a:pPr>
              <a:defRPr b="1"/>
            </a:pPr>
            <a:endParaRPr lang="en-US"/>
          </a:p>
        </c:txPr>
        <c:crossAx val="144371072"/>
        <c:crosses val="autoZero"/>
        <c:crossBetween val="midCat"/>
      </c:valAx>
      <c:valAx>
        <c:axId val="144371072"/>
        <c:scaling>
          <c:orientation val="minMax"/>
          <c:max val="60"/>
          <c:min val="-6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b="1">
                <a:solidFill>
                  <a:srgbClr val="FF0000"/>
                </a:solidFill>
              </a:defRPr>
            </a:pPr>
            <a:endParaRPr lang="en-US"/>
          </a:p>
        </c:txPr>
        <c:crossAx val="144369152"/>
        <c:crosses val="autoZero"/>
        <c:crossBetween val="midCat"/>
        <c:majorUnit val="20"/>
        <c:minorUnit val="10"/>
      </c:valAx>
      <c:valAx>
        <c:axId val="144836096"/>
        <c:scaling>
          <c:orientation val="minMax"/>
          <c:max val="180"/>
          <c:min val="-180"/>
        </c:scaling>
        <c:delete val="0"/>
        <c:axPos val="r"/>
        <c:title>
          <c:tx>
            <c:rich>
              <a:bodyPr rot="-5400000" vert="horz"/>
              <a:lstStyle/>
              <a:p>
                <a:pPr>
                  <a:defRPr/>
                </a:pPr>
                <a:r>
                  <a:rPr lang="en-US"/>
                  <a:t>Phase (deg)</a:t>
                </a:r>
              </a:p>
            </c:rich>
          </c:tx>
          <c:overlay val="0"/>
        </c:title>
        <c:numFmt formatCode="General" sourceLinked="1"/>
        <c:majorTickMark val="out"/>
        <c:minorTickMark val="none"/>
        <c:tickLblPos val="nextTo"/>
        <c:txPr>
          <a:bodyPr/>
          <a:lstStyle/>
          <a:p>
            <a:pPr>
              <a:defRPr b="1">
                <a:solidFill>
                  <a:schemeClr val="tx1">
                    <a:lumMod val="95000"/>
                    <a:lumOff val="5000"/>
                  </a:schemeClr>
                </a:solidFill>
              </a:defRPr>
            </a:pPr>
            <a:endParaRPr lang="en-US"/>
          </a:p>
        </c:txPr>
        <c:crossAx val="144838016"/>
        <c:crosses val="max"/>
        <c:crossBetween val="midCat"/>
        <c:majorUnit val="90"/>
        <c:minorUnit val="45"/>
      </c:valAx>
      <c:valAx>
        <c:axId val="144838016"/>
        <c:scaling>
          <c:logBase val="10"/>
          <c:orientation val="minMax"/>
        </c:scaling>
        <c:delete val="1"/>
        <c:axPos val="b"/>
        <c:numFmt formatCode="0.00" sourceLinked="1"/>
        <c:majorTickMark val="out"/>
        <c:minorTickMark val="none"/>
        <c:tickLblPos val="nextTo"/>
        <c:crossAx val="144836096"/>
        <c:crosses val="autoZero"/>
        <c:crossBetween val="midCat"/>
      </c:valAx>
    </c:plotArea>
    <c:legend>
      <c:legendPos val="r"/>
      <c:legendEntry>
        <c:idx val="1"/>
        <c:delete val="1"/>
      </c:legendEntry>
      <c:legendEntry>
        <c:idx val="2"/>
        <c:delete val="1"/>
      </c:legendEntry>
      <c:legendEntry>
        <c:idx val="3"/>
        <c:delete val="1"/>
      </c:legendEntry>
      <c:legendEntry>
        <c:idx val="4"/>
        <c:delete val="1"/>
      </c:legendEntry>
      <c:legendEntry>
        <c:idx val="5"/>
        <c:delete val="1"/>
      </c:legendEntry>
      <c:layout>
        <c:manualLayout>
          <c:xMode val="edge"/>
          <c:yMode val="edge"/>
          <c:x val="0.61392536510371165"/>
          <c:y val="7.0381012799940294E-3"/>
          <c:w val="0.28497500584606611"/>
          <c:h val="7.9643865606846526E-2"/>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Eff_vs_IOUT!$AT$7:$AT$157</c:f>
              <c:numCache>
                <c:formatCode>General</c:formatCode>
                <c:ptCount val="151"/>
                <c:pt idx="0">
                  <c:v>0</c:v>
                </c:pt>
                <c:pt idx="1">
                  <c:v>1.2739370890355757</c:v>
                </c:pt>
                <c:pt idx="2">
                  <c:v>2.5145288177679066</c:v>
                </c:pt>
                <c:pt idx="3">
                  <c:v>3.7230225804615915</c:v>
                </c:pt>
                <c:pt idx="4">
                  <c:v>4.9006155689063595</c:v>
                </c:pt>
                <c:pt idx="5">
                  <c:v>6.0484513561556534</c:v>
                </c:pt>
                <c:pt idx="6">
                  <c:v>7.1676209469100058</c:v>
                </c:pt>
                <c:pt idx="7">
                  <c:v>8.2591648386577035</c:v>
                </c:pt>
                <c:pt idx="8">
                  <c:v>9.3240753831229028</c:v>
                </c:pt>
                <c:pt idx="9">
                  <c:v>10.36329920626541</c:v>
                </c:pt>
                <c:pt idx="10">
                  <c:v>11.377739587335169</c:v>
                </c:pt>
                <c:pt idx="11">
                  <c:v>12.368258752640623</c:v>
                </c:pt>
                <c:pt idx="12">
                  <c:v>13.335680064403807</c:v>
                </c:pt>
                <c:pt idx="13">
                  <c:v>14.280790097216322</c:v>
                </c:pt>
                <c:pt idx="14">
                  <c:v>15.204340600926573</c:v>
                </c:pt>
                <c:pt idx="15">
                  <c:v>16.107050352171122</c:v>
                </c:pt>
                <c:pt idx="16">
                  <c:v>16.989606898574198</c:v>
                </c:pt>
                <c:pt idx="17">
                  <c:v>17.852668200569379</c:v>
                </c:pt>
                <c:pt idx="18">
                  <c:v>18.696864176218085</c:v>
                </c:pt>
                <c:pt idx="19">
                  <c:v>19.522798154519464</c:v>
                </c:pt>
                <c:pt idx="20">
                  <c:v>20.331048242647199</c:v>
                </c:pt>
                <c:pt idx="21">
                  <c:v>21.122168612385309</c:v>
                </c:pt>
                <c:pt idx="22">
                  <c:v>21.896690710811125</c:v>
                </c:pt>
                <c:pt idx="23">
                  <c:v>22.655124400018451</c:v>
                </c:pt>
                <c:pt idx="24">
                  <c:v>23.397959030405257</c:v>
                </c:pt>
                <c:pt idx="25">
                  <c:v>24.125664451778714</c:v>
                </c:pt>
                <c:pt idx="26">
                  <c:v>24.838691966263944</c:v>
                </c:pt>
                <c:pt idx="27">
                  <c:v>25.537475226745158</c:v>
                </c:pt>
                <c:pt idx="28">
                  <c:v>26.222431084322</c:v>
                </c:pt>
                <c:pt idx="29">
                  <c:v>26.893960388030706</c:v>
                </c:pt>
                <c:pt idx="30">
                  <c:v>27.552448739860314</c:v>
                </c:pt>
                <c:pt idx="31">
                  <c:v>28.198267207888051</c:v>
                </c:pt>
                <c:pt idx="32">
                  <c:v>28.831773000165949</c:v>
                </c:pt>
                <c:pt idx="33">
                  <c:v>29.453310101810587</c:v>
                </c:pt>
                <c:pt idx="34">
                  <c:v>30.063209877581059</c:v>
                </c:pt>
                <c:pt idx="35">
                  <c:v>30.661791642074476</c:v>
                </c:pt>
                <c:pt idx="36">
                  <c:v>31.249363199523678</c:v>
                </c:pt>
                <c:pt idx="37">
                  <c:v>31.82622135504764</c:v>
                </c:pt>
                <c:pt idx="38">
                  <c:v>32.392652399080255</c:v>
                </c:pt>
                <c:pt idx="39">
                  <c:v>32.948932566587388</c:v>
                </c:pt>
                <c:pt idx="40">
                  <c:v>33.495328472574776</c:v>
                </c:pt>
                <c:pt idx="41">
                  <c:v>34.032097525289444</c:v>
                </c:pt>
                <c:pt idx="42">
                  <c:v>34.559488318424869</c:v>
                </c:pt>
                <c:pt idx="43">
                  <c:v>35.077741003553918</c:v>
                </c:pt>
                <c:pt idx="44">
                  <c:v>35.587087643934204</c:v>
                </c:pt>
                <c:pt idx="45">
                  <c:v>36.087752550755766</c:v>
                </c:pt>
                <c:pt idx="46">
                  <c:v>36.579952602832506</c:v>
                </c:pt>
                <c:pt idx="47">
                  <c:v>37.06389755067466</c:v>
                </c:pt>
                <c:pt idx="48">
                  <c:v>37.539790305819814</c:v>
                </c:pt>
                <c:pt idx="49">
                  <c:v>38.007827216244969</c:v>
                </c:pt>
                <c:pt idx="50">
                  <c:v>38.468198328630059</c:v>
                </c:pt>
                <c:pt idx="51">
                  <c:v>38.921087638195985</c:v>
                </c:pt>
                <c:pt idx="52">
                  <c:v>39.366673326794839</c:v>
                </c:pt>
                <c:pt idx="53">
                  <c:v>39.805127989888959</c:v>
                </c:pt>
                <c:pt idx="54">
                  <c:v>40.236618853016068</c:v>
                </c:pt>
                <c:pt idx="55">
                  <c:v>40.66130797830214</c:v>
                </c:pt>
                <c:pt idx="56">
                  <c:v>41.079352461549092</c:v>
                </c:pt>
                <c:pt idx="57">
                  <c:v>41.490904620393735</c:v>
                </c:pt>
                <c:pt idx="58">
                  <c:v>41.896112174004266</c:v>
                </c:pt>
                <c:pt idx="59">
                  <c:v>42.295118414753382</c:v>
                </c:pt>
                <c:pt idx="60">
                  <c:v>42.688062372281479</c:v>
                </c:pt>
                <c:pt idx="61">
                  <c:v>43.075078970338978</c:v>
                </c:pt>
                <c:pt idx="62">
                  <c:v>43.45629917677482</c:v>
                </c:pt>
                <c:pt idx="63">
                  <c:v>43.831850147016802</c:v>
                </c:pt>
                <c:pt idx="64">
                  <c:v>44.201855361369624</c:v>
                </c:pt>
                <c:pt idx="65">
                  <c:v>44.566434756438525</c:v>
                </c:pt>
                <c:pt idx="66">
                  <c:v>44.925704850968557</c:v>
                </c:pt>
                <c:pt idx="67">
                  <c:v>45.279778866373618</c:v>
                </c:pt>
                <c:pt idx="68">
                  <c:v>45.628766842214226</c:v>
                </c:pt>
                <c:pt idx="69">
                  <c:v>45.972775746868386</c:v>
                </c:pt>
                <c:pt idx="70">
                  <c:v>46.311909583626964</c:v>
                </c:pt>
                <c:pt idx="71">
                  <c:v>46.64626949243199</c:v>
                </c:pt>
                <c:pt idx="72">
                  <c:v>46.975953847464879</c:v>
                </c:pt>
                <c:pt idx="73">
                  <c:v>47.301058350779975</c:v>
                </c:pt>
                <c:pt idx="74">
                  <c:v>47.621676122168942</c:v>
                </c:pt>
                <c:pt idx="75">
                  <c:v>47.937897785431318</c:v>
                </c:pt>
                <c:pt idx="76">
                  <c:v>48.249811551217206</c:v>
                </c:pt>
                <c:pt idx="77">
                  <c:v>48.55750329659994</c:v>
                </c:pt>
                <c:pt idx="78">
                  <c:v>48.861056641527732</c:v>
                </c:pt>
                <c:pt idx="79">
                  <c:v>49.160553022295922</c:v>
                </c:pt>
                <c:pt idx="80">
                  <c:v>49.456071762174197</c:v>
                </c:pt>
                <c:pt idx="81">
                  <c:v>49.747690139316134</c:v>
                </c:pt>
                <c:pt idx="82">
                  <c:v>50.035483452072107</c:v>
                </c:pt>
                <c:pt idx="83">
                  <c:v>50.319525081820281</c:v>
                </c:pt>
                <c:pt idx="84">
                  <c:v>50.59988655342498</c:v>
                </c:pt>
                <c:pt idx="85">
                  <c:v>50.876637593426025</c:v>
                </c:pt>
                <c:pt idx="86">
                  <c:v>51.149846186057502</c:v>
                </c:pt>
                <c:pt idx="87">
                  <c:v>51.419578627189807</c:v>
                </c:pt>
                <c:pt idx="88">
                  <c:v>51.685899576283923</c:v>
                </c:pt>
                <c:pt idx="89">
                  <c:v>51.948872106442813</c:v>
                </c:pt>
                <c:pt idx="90">
                  <c:v>52.208557752640459</c:v>
                </c:pt>
                <c:pt idx="91">
                  <c:v>52.465016558205626</c:v>
                </c:pt>
                <c:pt idx="92">
                  <c:v>52.718307119633025</c:v>
                </c:pt>
                <c:pt idx="93">
                  <c:v>52.968486629792054</c:v>
                </c:pt>
                <c:pt idx="94">
                  <c:v>53.215610919598952</c:v>
                </c:pt>
                <c:pt idx="95">
                  <c:v>53.459734498216136</c:v>
                </c:pt>
                <c:pt idx="96">
                  <c:v>53.700910591838436</c:v>
                </c:pt>
                <c:pt idx="97">
                  <c:v>53.939191181124357</c:v>
                </c:pt>
                <c:pt idx="98">
                  <c:v>54.174627037326673</c:v>
                </c:pt>
                <c:pt idx="99">
                  <c:v>54.407267757174893</c:v>
                </c:pt>
                <c:pt idx="100">
                  <c:v>54.637161796559631</c:v>
                </c:pt>
                <c:pt idx="101">
                  <c:v>54.864356503066325</c:v>
                </c:pt>
                <c:pt idx="102">
                  <c:v>55.088898147404066</c:v>
                </c:pt>
                <c:pt idx="103">
                  <c:v>55.310831953772677</c:v>
                </c:pt>
                <c:pt idx="104">
                  <c:v>55.53020212921006</c:v>
                </c:pt>
                <c:pt idx="105">
                  <c:v>55.747051891958911</c:v>
                </c:pt>
                <c:pt idx="106">
                  <c:v>55.961423498891293</c:v>
                </c:pt>
                <c:pt idx="107">
                  <c:v>56.173358272026931</c:v>
                </c:pt>
                <c:pt idx="108">
                  <c:v>56.382896624180134</c:v>
                </c:pt>
                <c:pt idx="109">
                  <c:v>56.590078083768461</c:v>
                </c:pt>
                <c:pt idx="110">
                  <c:v>56.794941318814864</c:v>
                </c:pt>
                <c:pt idx="111">
                  <c:v>56.997524160173676</c:v>
                </c:pt>
                <c:pt idx="112">
                  <c:v>57.197863624009607</c:v>
                </c:pt>
                <c:pt idx="113">
                  <c:v>57.395995933557423</c:v>
                </c:pt>
                <c:pt idx="114">
                  <c:v>57.591956540189237</c:v>
                </c:pt>
                <c:pt idx="115">
                  <c:v>57.785780143814634</c:v>
                </c:pt>
                <c:pt idx="116">
                  <c:v>57.97750071263841</c:v>
                </c:pt>
                <c:pt idx="117">
                  <c:v>58.16715150229912</c:v>
                </c:pt>
                <c:pt idx="118">
                  <c:v>58.354765074411162</c:v>
                </c:pt>
                <c:pt idx="119">
                  <c:v>58.540373314531735</c:v>
                </c:pt>
                <c:pt idx="120">
                  <c:v>58.724007449573421</c:v>
                </c:pt>
                <c:pt idx="121">
                  <c:v>58.905698064682298</c:v>
                </c:pt>
                <c:pt idx="122">
                  <c:v>59.085475119600503</c:v>
                </c:pt>
                <c:pt idx="123">
                  <c:v>59.263367964531554</c:v>
                </c:pt>
                <c:pt idx="124">
                  <c:v>59.439405355525857</c:v>
                </c:pt>
                <c:pt idx="125">
                  <c:v>59.613615469403328</c:v>
                </c:pt>
                <c:pt idx="126">
                  <c:v>59.786025918229328</c:v>
                </c:pt>
                <c:pt idx="127">
                  <c:v>59.956663763359138</c:v>
                </c:pt>
                <c:pt idx="128">
                  <c:v>60.125555529066233</c:v>
                </c:pt>
                <c:pt idx="129">
                  <c:v>60.292727215768373</c:v>
                </c:pt>
                <c:pt idx="130">
                  <c:v>60.458204312865469</c:v>
                </c:pt>
                <c:pt idx="131">
                  <c:v>60.622011811202348</c:v>
                </c:pt>
                <c:pt idx="132">
                  <c:v>60.78417421516901</c:v>
                </c:pt>
                <c:pt idx="133">
                  <c:v>60.944715554450958</c:v>
                </c:pt>
                <c:pt idx="134">
                  <c:v>61.103659395440921</c:v>
                </c:pt>
                <c:pt idx="135">
                  <c:v>61.261028852323548</c:v>
                </c:pt>
                <c:pt idx="136">
                  <c:v>61.416846597843765</c:v>
                </c:pt>
                <c:pt idx="137">
                  <c:v>61.571134873769608</c:v>
                </c:pt>
                <c:pt idx="138">
                  <c:v>61.723915501059004</c:v>
                </c:pt>
                <c:pt idx="139">
                  <c:v>61.87520988974088</c:v>
                </c:pt>
                <c:pt idx="140">
                  <c:v>62.025039048519318</c:v>
                </c:pt>
                <c:pt idx="141">
                  <c:v>62.17342359411019</c:v>
                </c:pt>
                <c:pt idx="142">
                  <c:v>62.320383760318698</c:v>
                </c:pt>
                <c:pt idx="143">
                  <c:v>62.465939406866219</c:v>
                </c:pt>
                <c:pt idx="144">
                  <c:v>62.610110027974422</c:v>
                </c:pt>
                <c:pt idx="145">
                  <c:v>62.752914760714532</c:v>
                </c:pt>
                <c:pt idx="146">
                  <c:v>62.894372393129103</c:v>
                </c:pt>
                <c:pt idx="147">
                  <c:v>63.034501372133491</c:v>
                </c:pt>
                <c:pt idx="148">
                  <c:v>63.173319811203918</c:v>
                </c:pt>
                <c:pt idx="149">
                  <c:v>63.310845497858978</c:v>
                </c:pt>
                <c:pt idx="150">
                  <c:v>63.447095900940845</c:v>
                </c:pt>
              </c:numCache>
            </c:numRef>
          </c:yVal>
          <c:smooth val="0"/>
          <c:extLst>
            <c:ext xmlns:c16="http://schemas.microsoft.com/office/drawing/2014/chart" uri="{C3380CC4-5D6E-409C-BE32-E72D297353CC}">
              <c16:uniqueId val="{00000000-EBB2-49C9-A014-1F538461E4EA}"/>
            </c:ext>
          </c:extLst>
        </c:ser>
        <c:dLbls>
          <c:showLegendKey val="0"/>
          <c:showVal val="0"/>
          <c:showCatName val="0"/>
          <c:showSerName val="0"/>
          <c:showPercent val="0"/>
          <c:showBubbleSize val="0"/>
        </c:dLbls>
        <c:axId val="144893056"/>
        <c:axId val="144894592"/>
      </c:scatterChart>
      <c:scatterChart>
        <c:scatterStyle val="smoothMarker"/>
        <c:varyColors val="0"/>
        <c:ser>
          <c:idx val="1"/>
          <c:order val="1"/>
          <c:tx>
            <c:v>MOSFET</c:v>
          </c:tx>
          <c:spPr>
            <a:ln>
              <a:solidFill>
                <a:schemeClr val="tx2">
                  <a:lumMod val="75000"/>
                </a:schemeClr>
              </a:solidFill>
              <a:prstDash val="dashDot"/>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Eff_vs_IOUT!$AI$7:$AI$157</c:f>
              <c:numCache>
                <c:formatCode>General</c:formatCode>
                <c:ptCount val="151"/>
                <c:pt idx="0">
                  <c:v>0</c:v>
                </c:pt>
                <c:pt idx="1">
                  <c:v>3.7598317643737229E-4</c:v>
                </c:pt>
                <c:pt idx="2">
                  <c:v>7.5407489816704202E-4</c:v>
                </c:pt>
                <c:pt idx="3">
                  <c:v>1.1335392628127967E-3</c:v>
                </c:pt>
                <c:pt idx="4">
                  <c:v>1.5141136630325742E-3</c:v>
                </c:pt>
                <c:pt idx="5">
                  <c:v>1.8956463262842544E-3</c:v>
                </c:pt>
                <c:pt idx="6">
                  <c:v>2.2780348483545515E-3</c:v>
                </c:pt>
                <c:pt idx="7">
                  <c:v>2.661204051705533E-3</c:v>
                </c:pt>
                <c:pt idx="8">
                  <c:v>3.045095688403528E-3</c:v>
                </c:pt>
                <c:pt idx="9">
                  <c:v>3.4296628957102325E-3</c:v>
                </c:pt>
                <c:pt idx="10">
                  <c:v>3.8148669056045801E-3</c:v>
                </c:pt>
                <c:pt idx="11">
                  <c:v>4.20067495039784E-3</c:v>
                </c:pt>
                <c:pt idx="12">
                  <c:v>4.5870588571031608E-3</c:v>
                </c:pt>
                <c:pt idx="13">
                  <c:v>4.973994063947597E-3</c:v>
                </c:pt>
                <c:pt idx="14">
                  <c:v>5.3614589087118119E-3</c:v>
                </c:pt>
                <c:pt idx="15">
                  <c:v>5.7494340992709052E-3</c:v>
                </c:pt>
                <c:pt idx="16">
                  <c:v>6.137902310394976E-3</c:v>
                </c:pt>
                <c:pt idx="17">
                  <c:v>6.5268478705364759E-3</c:v>
                </c:pt>
                <c:pt idx="18">
                  <c:v>6.9162565143124971E-3</c:v>
                </c:pt>
                <c:pt idx="19">
                  <c:v>7.306115183956411E-3</c:v>
                </c:pt>
                <c:pt idx="20">
                  <c:v>7.6964118679420154E-3</c:v>
                </c:pt>
                <c:pt idx="21">
                  <c:v>8.0871354682820768E-3</c:v>
                </c:pt>
                <c:pt idx="22">
                  <c:v>8.4782756902639107E-3</c:v>
                </c:pt>
                <c:pt idx="23">
                  <c:v>8.8698229499672085E-3</c:v>
                </c:pt>
                <c:pt idx="24">
                  <c:v>9.2617682960379876E-3</c:v>
                </c:pt>
                <c:pt idx="25">
                  <c:v>9.6541033430114324E-3</c:v>
                </c:pt>
                <c:pt idx="26">
                  <c:v>1.004682021407941E-2</c:v>
                </c:pt>
                <c:pt idx="27">
                  <c:v>1.0439911491649058E-2</c:v>
                </c:pt>
                <c:pt idx="28">
                  <c:v>1.0833370174379435E-2</c:v>
                </c:pt>
                <c:pt idx="29">
                  <c:v>1.1227189639644045E-2</c:v>
                </c:pt>
                <c:pt idx="30">
                  <c:v>1.162136361056869E-2</c:v>
                </c:pt>
                <c:pt idx="31">
                  <c:v>1.2015886126951609E-2</c:v>
                </c:pt>
                <c:pt idx="32">
                  <c:v>1.241075151949699E-2</c:v>
                </c:pt>
                <c:pt idx="33">
                  <c:v>1.2805954386891709E-2</c:v>
                </c:pt>
                <c:pt idx="34">
                  <c:v>1.3201489575334154E-2</c:v>
                </c:pt>
                <c:pt idx="35">
                  <c:v>1.3597352160187809E-2</c:v>
                </c:pt>
                <c:pt idx="36">
                  <c:v>1.3993537429484223E-2</c:v>
                </c:pt>
                <c:pt idx="37">
                  <c:v>1.4390040869042312E-2</c:v>
                </c:pt>
                <c:pt idx="38">
                  <c:v>1.478685814900588E-2</c:v>
                </c:pt>
                <c:pt idx="39">
                  <c:v>1.518398511163023E-2</c:v>
                </c:pt>
                <c:pt idx="40">
                  <c:v>1.55814177601726E-2</c:v>
                </c:pt>
                <c:pt idx="41">
                  <c:v>1.5979152248761435E-2</c:v>
                </c:pt>
                <c:pt idx="42">
                  <c:v>1.6377184873136268E-2</c:v>
                </c:pt>
                <c:pt idx="43">
                  <c:v>1.6775512062164367E-2</c:v>
                </c:pt>
                <c:pt idx="44">
                  <c:v>1.717413037005228E-2</c:v>
                </c:pt>
                <c:pt idx="45">
                  <c:v>1.7573036469180778E-2</c:v>
                </c:pt>
                <c:pt idx="46">
                  <c:v>1.7972227143500469E-2</c:v>
                </c:pt>
                <c:pt idx="47">
                  <c:v>1.8371699282432898E-2</c:v>
                </c:pt>
                <c:pt idx="48">
                  <c:v>1.8771449875228441E-2</c:v>
                </c:pt>
                <c:pt idx="49">
                  <c:v>1.9171476005737986E-2</c:v>
                </c:pt>
                <c:pt idx="50">
                  <c:v>1.9571774847560047E-2</c:v>
                </c:pt>
                <c:pt idx="51">
                  <c:v>1.9972343659529494E-2</c:v>
                </c:pt>
                <c:pt idx="52">
                  <c:v>2.0373179781517512E-2</c:v>
                </c:pt>
                <c:pt idx="53">
                  <c:v>2.0774280630515663E-2</c:v>
                </c:pt>
                <c:pt idx="54">
                  <c:v>2.1175643696979985E-2</c:v>
                </c:pt>
                <c:pt idx="55">
                  <c:v>2.1577266541413058E-2</c:v>
                </c:pt>
                <c:pt idx="56">
                  <c:v>2.1979146791164833E-2</c:v>
                </c:pt>
                <c:pt idx="57">
                  <c:v>2.2381282137434195E-2</c:v>
                </c:pt>
                <c:pt idx="58">
                  <c:v>2.2783670332455642E-2</c:v>
                </c:pt>
                <c:pt idx="59">
                  <c:v>2.3186309186856411E-2</c:v>
                </c:pt>
                <c:pt idx="60">
                  <c:v>2.3589196567171174E-2</c:v>
                </c:pt>
                <c:pt idx="61">
                  <c:v>2.3992330393502327E-2</c:v>
                </c:pt>
                <c:pt idx="62">
                  <c:v>2.4395708637315088E-2</c:v>
                </c:pt>
                <c:pt idx="63">
                  <c:v>2.4799329319357653E-2</c:v>
                </c:pt>
                <c:pt idx="64">
                  <c:v>2.5203190507697339E-2</c:v>
                </c:pt>
                <c:pt idx="65">
                  <c:v>2.5607290315864593E-2</c:v>
                </c:pt>
                <c:pt idx="66">
                  <c:v>2.601162690109738E-2</c:v>
                </c:pt>
                <c:pt idx="67">
                  <c:v>2.6416198462678959E-2</c:v>
                </c:pt>
                <c:pt idx="68">
                  <c:v>2.6821003240362934E-2</c:v>
                </c:pt>
                <c:pt idx="69">
                  <c:v>2.7226039512879618E-2</c:v>
                </c:pt>
                <c:pt idx="70">
                  <c:v>2.76313055965185E-2</c:v>
                </c:pt>
                <c:pt idx="71">
                  <c:v>2.8036799843781796E-2</c:v>
                </c:pt>
                <c:pt idx="72">
                  <c:v>2.8442520642104698E-2</c:v>
                </c:pt>
                <c:pt idx="73">
                  <c:v>2.8848466412637996E-2</c:v>
                </c:pt>
                <c:pt idx="74">
                  <c:v>2.9254635609089301E-2</c:v>
                </c:pt>
                <c:pt idx="75">
                  <c:v>2.9661026716619281E-2</c:v>
                </c:pt>
                <c:pt idx="76">
                  <c:v>3.0067638250789605E-2</c:v>
                </c:pt>
                <c:pt idx="77">
                  <c:v>3.047446875655942E-2</c:v>
                </c:pt>
                <c:pt idx="78">
                  <c:v>3.088151680732773E-2</c:v>
                </c:pt>
                <c:pt idx="79">
                  <c:v>3.1288781004018759E-2</c:v>
                </c:pt>
                <c:pt idx="80">
                  <c:v>3.1696259974208038E-2</c:v>
                </c:pt>
                <c:pt idx="81">
                  <c:v>3.2103952371286916E-2</c:v>
                </c:pt>
                <c:pt idx="82">
                  <c:v>3.2511856873663092E-2</c:v>
                </c:pt>
                <c:pt idx="83">
                  <c:v>3.2919972183995644E-2</c:v>
                </c:pt>
                <c:pt idx="84">
                  <c:v>3.3328297028462128E-2</c:v>
                </c:pt>
                <c:pt idx="85">
                  <c:v>3.3736830156056621E-2</c:v>
                </c:pt>
                <c:pt idx="86">
                  <c:v>3.4145570337916452E-2</c:v>
                </c:pt>
                <c:pt idx="87">
                  <c:v>3.4554516366676682E-2</c:v>
                </c:pt>
                <c:pt idx="88">
                  <c:v>3.4963667055850398E-2</c:v>
                </c:pt>
                <c:pt idx="89">
                  <c:v>3.537302123923397E-2</c:v>
                </c:pt>
                <c:pt idx="90">
                  <c:v>3.5782577770335479E-2</c:v>
                </c:pt>
                <c:pt idx="91">
                  <c:v>3.6192335521825783E-2</c:v>
                </c:pt>
                <c:pt idx="92">
                  <c:v>3.6602293385010365E-2</c:v>
                </c:pt>
                <c:pt idx="93">
                  <c:v>3.7012450269321713E-2</c:v>
                </c:pt>
                <c:pt idx="94">
                  <c:v>3.7422805101830568E-2</c:v>
                </c:pt>
                <c:pt idx="95">
                  <c:v>3.7833356826775563E-2</c:v>
                </c:pt>
                <c:pt idx="96">
                  <c:v>3.8244104405110196E-2</c:v>
                </c:pt>
                <c:pt idx="97">
                  <c:v>3.8655046814066452E-2</c:v>
                </c:pt>
                <c:pt idx="98">
                  <c:v>3.9066183046733996E-2</c:v>
                </c:pt>
                <c:pt idx="99">
                  <c:v>3.9477512111654692E-2</c:v>
                </c:pt>
                <c:pt idx="100">
                  <c:v>3.9889033032431347E-2</c:v>
                </c:pt>
                <c:pt idx="101">
                  <c:v>4.0300744847350162E-2</c:v>
                </c:pt>
                <c:pt idx="102">
                  <c:v>4.0712646609016433E-2</c:v>
                </c:pt>
                <c:pt idx="103">
                  <c:v>4.1124737384002678E-2</c:v>
                </c:pt>
                <c:pt idx="104">
                  <c:v>4.153701625250876E-2</c:v>
                </c:pt>
                <c:pt idx="105">
                  <c:v>4.194948230803347E-2</c:v>
                </c:pt>
                <c:pt idx="106">
                  <c:v>4.236213465705721E-2</c:v>
                </c:pt>
                <c:pt idx="107">
                  <c:v>4.2774972418734979E-2</c:v>
                </c:pt>
                <c:pt idx="108">
                  <c:v>4.3187994724599547E-2</c:v>
                </c:pt>
                <c:pt idx="109">
                  <c:v>4.3601200718274259E-2</c:v>
                </c:pt>
                <c:pt idx="110">
                  <c:v>4.4014589555195119E-2</c:v>
                </c:pt>
                <c:pt idx="111">
                  <c:v>4.4428160402341599E-2</c:v>
                </c:pt>
                <c:pt idx="112">
                  <c:v>4.4841912437976153E-2</c:v>
                </c:pt>
                <c:pt idx="113">
                  <c:v>4.5255844851391669E-2</c:v>
                </c:pt>
                <c:pt idx="114">
                  <c:v>4.5669956842666969E-2</c:v>
                </c:pt>
                <c:pt idx="115">
                  <c:v>4.6084247622429741E-2</c:v>
                </c:pt>
                <c:pt idx="116">
                  <c:v>4.6498716411626631E-2</c:v>
                </c:pt>
                <c:pt idx="117">
                  <c:v>4.6913362441300427E-2</c:v>
                </c:pt>
                <c:pt idx="118">
                  <c:v>4.7328184952373842E-2</c:v>
                </c:pt>
                <c:pt idx="119">
                  <c:v>4.7743183195439701E-2</c:v>
                </c:pt>
                <c:pt idx="120">
                  <c:v>4.8158356430557402E-2</c:v>
                </c:pt>
                <c:pt idx="121">
                  <c:v>4.8573703927055234E-2</c:v>
                </c:pt>
                <c:pt idx="122">
                  <c:v>4.8989224963338504E-2</c:v>
                </c:pt>
                <c:pt idx="123">
                  <c:v>4.9404918826703066E-2</c:v>
                </c:pt>
                <c:pt idx="124">
                  <c:v>4.9820784813154342E-2</c:v>
                </c:pt>
                <c:pt idx="125">
                  <c:v>5.0236822227231297E-2</c:v>
                </c:pt>
                <c:pt idx="126">
                  <c:v>5.0653030381835433E-2</c:v>
                </c:pt>
                <c:pt idx="127">
                  <c:v>5.1069408598064546E-2</c:v>
                </c:pt>
                <c:pt idx="128">
                  <c:v>5.1485956205050983E-2</c:v>
                </c:pt>
                <c:pt idx="129">
                  <c:v>5.1902672539804517E-2</c:v>
                </c:pt>
                <c:pt idx="130">
                  <c:v>5.2319556947059316E-2</c:v>
                </c:pt>
                <c:pt idx="131">
                  <c:v>5.2736608779125137E-2</c:v>
                </c:pt>
                <c:pt idx="132">
                  <c:v>5.3153827395742329E-2</c:v>
                </c:pt>
                <c:pt idx="133">
                  <c:v>5.357121216394109E-2</c:v>
                </c:pt>
                <c:pt idx="134">
                  <c:v>5.398876245790394E-2</c:v>
                </c:pt>
                <c:pt idx="135">
                  <c:v>5.440647765883215E-2</c:v>
                </c:pt>
                <c:pt idx="136">
                  <c:v>5.4824357154815477E-2</c:v>
                </c:pt>
                <c:pt idx="137">
                  <c:v>5.5242400340705329E-2</c:v>
                </c:pt>
                <c:pt idx="138">
                  <c:v>5.5660606617991111E-2</c:v>
                </c:pt>
                <c:pt idx="139">
                  <c:v>5.6078975394679757E-2</c:v>
                </c:pt>
                <c:pt idx="140">
                  <c:v>5.6497506085178326E-2</c:v>
                </c:pt>
                <c:pt idx="141">
                  <c:v>5.6916198110179436E-2</c:v>
                </c:pt>
                <c:pt idx="142">
                  <c:v>5.7335050896549715E-2</c:v>
                </c:pt>
                <c:pt idx="143">
                  <c:v>5.7754063877220832E-2</c:v>
                </c:pt>
                <c:pt idx="144">
                  <c:v>5.817323649108324E-2</c:v>
                </c:pt>
                <c:pt idx="145">
                  <c:v>5.8592568182882686E-2</c:v>
                </c:pt>
                <c:pt idx="146">
                  <c:v>5.9012058403118954E-2</c:v>
                </c:pt>
                <c:pt idx="147">
                  <c:v>5.9431706607947159E-2</c:v>
                </c:pt>
                <c:pt idx="148">
                  <c:v>5.985151225908153E-2</c:v>
                </c:pt>
                <c:pt idx="149">
                  <c:v>6.0271474823701154E-2</c:v>
                </c:pt>
                <c:pt idx="150">
                  <c:v>6.0691593774358329E-2</c:v>
                </c:pt>
              </c:numCache>
            </c:numRef>
          </c:yVal>
          <c:smooth val="1"/>
          <c:extLst>
            <c:ext xmlns:c16="http://schemas.microsoft.com/office/drawing/2014/chart" uri="{C3380CC4-5D6E-409C-BE32-E72D297353CC}">
              <c16:uniqueId val="{00000001-EBB2-49C9-A014-1F538461E4EA}"/>
            </c:ext>
          </c:extLst>
        </c:ser>
        <c:ser>
          <c:idx val="2"/>
          <c:order val="2"/>
          <c:tx>
            <c:v>Diode</c:v>
          </c:tx>
          <c:spPr>
            <a:ln>
              <a:solidFill>
                <a:schemeClr val="bg2">
                  <a:lumMod val="50000"/>
                </a:schemeClr>
              </a:solidFill>
              <a:prstDash val="sysDash"/>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Eff_vs_IOUT!$AN$7:$AN$157</c:f>
              <c:numCache>
                <c:formatCode>General</c:formatCode>
                <c:ptCount val="151"/>
                <c:pt idx="0">
                  <c:v>0.85400000000000009</c:v>
                </c:pt>
                <c:pt idx="1">
                  <c:v>0.85405333333333344</c:v>
                </c:pt>
                <c:pt idx="2">
                  <c:v>0.85410666666666679</c:v>
                </c:pt>
                <c:pt idx="3">
                  <c:v>0.85416000000000014</c:v>
                </c:pt>
                <c:pt idx="4">
                  <c:v>0.85421333333333338</c:v>
                </c:pt>
                <c:pt idx="5">
                  <c:v>0.85426666666666673</c:v>
                </c:pt>
                <c:pt idx="6">
                  <c:v>0.85432000000000008</c:v>
                </c:pt>
                <c:pt idx="7">
                  <c:v>0.85437333333333343</c:v>
                </c:pt>
                <c:pt idx="8">
                  <c:v>0.85442666666666678</c:v>
                </c:pt>
                <c:pt idx="9">
                  <c:v>0.85448000000000013</c:v>
                </c:pt>
                <c:pt idx="10">
                  <c:v>0.85453333333333348</c:v>
                </c:pt>
                <c:pt idx="11">
                  <c:v>0.85458666666666672</c:v>
                </c:pt>
                <c:pt idx="12">
                  <c:v>0.85464000000000007</c:v>
                </c:pt>
                <c:pt idx="13">
                  <c:v>0.85469333333333342</c:v>
                </c:pt>
                <c:pt idx="14">
                  <c:v>0.85474666666666677</c:v>
                </c:pt>
                <c:pt idx="15">
                  <c:v>0.85480000000000012</c:v>
                </c:pt>
                <c:pt idx="16">
                  <c:v>0.85485333333333346</c:v>
                </c:pt>
                <c:pt idx="17">
                  <c:v>0.8549066666666667</c:v>
                </c:pt>
                <c:pt idx="18">
                  <c:v>0.85496000000000005</c:v>
                </c:pt>
                <c:pt idx="19">
                  <c:v>0.8550133333333334</c:v>
                </c:pt>
                <c:pt idx="20">
                  <c:v>0.85506666666666675</c:v>
                </c:pt>
                <c:pt idx="21">
                  <c:v>0.8551200000000001</c:v>
                </c:pt>
                <c:pt idx="22">
                  <c:v>0.85517333333333345</c:v>
                </c:pt>
                <c:pt idx="23">
                  <c:v>0.8552266666666668</c:v>
                </c:pt>
                <c:pt idx="24">
                  <c:v>0.85528000000000004</c:v>
                </c:pt>
                <c:pt idx="25">
                  <c:v>0.85533333333333339</c:v>
                </c:pt>
                <c:pt idx="26">
                  <c:v>0.85538666666666674</c:v>
                </c:pt>
                <c:pt idx="27">
                  <c:v>0.85544000000000009</c:v>
                </c:pt>
                <c:pt idx="28">
                  <c:v>0.85549333333333344</c:v>
                </c:pt>
                <c:pt idx="29">
                  <c:v>0.85554666666666679</c:v>
                </c:pt>
                <c:pt idx="30">
                  <c:v>0.85560000000000014</c:v>
                </c:pt>
                <c:pt idx="31">
                  <c:v>0.85565333333333338</c:v>
                </c:pt>
                <c:pt idx="32">
                  <c:v>0.85570666666666673</c:v>
                </c:pt>
                <c:pt idx="33">
                  <c:v>0.85576000000000008</c:v>
                </c:pt>
                <c:pt idx="34">
                  <c:v>0.85581333333333343</c:v>
                </c:pt>
                <c:pt idx="35">
                  <c:v>0.85586666666666678</c:v>
                </c:pt>
                <c:pt idx="36">
                  <c:v>0.85592000000000013</c:v>
                </c:pt>
                <c:pt idx="37">
                  <c:v>0.85597333333333347</c:v>
                </c:pt>
                <c:pt idx="38">
                  <c:v>0.85602666666666671</c:v>
                </c:pt>
                <c:pt idx="39">
                  <c:v>0.85608000000000006</c:v>
                </c:pt>
                <c:pt idx="40">
                  <c:v>0.85613333333333341</c:v>
                </c:pt>
                <c:pt idx="41">
                  <c:v>0.85618666666666676</c:v>
                </c:pt>
                <c:pt idx="42">
                  <c:v>0.85624000000000011</c:v>
                </c:pt>
                <c:pt idx="43">
                  <c:v>0.85629333333333346</c:v>
                </c:pt>
                <c:pt idx="44">
                  <c:v>0.85634666666666681</c:v>
                </c:pt>
                <c:pt idx="45">
                  <c:v>0.85640000000000005</c:v>
                </c:pt>
                <c:pt idx="46">
                  <c:v>0.8564533333333334</c:v>
                </c:pt>
                <c:pt idx="47">
                  <c:v>0.85650666666666675</c:v>
                </c:pt>
                <c:pt idx="48">
                  <c:v>0.8565600000000001</c:v>
                </c:pt>
                <c:pt idx="49">
                  <c:v>0.85661333333333345</c:v>
                </c:pt>
                <c:pt idx="50">
                  <c:v>0.8566666666666668</c:v>
                </c:pt>
                <c:pt idx="51">
                  <c:v>0.85672000000000015</c:v>
                </c:pt>
                <c:pt idx="52">
                  <c:v>0.85677333333333339</c:v>
                </c:pt>
                <c:pt idx="53">
                  <c:v>0.85682666666666674</c:v>
                </c:pt>
                <c:pt idx="54">
                  <c:v>0.85688000000000009</c:v>
                </c:pt>
                <c:pt idx="55">
                  <c:v>0.85693333333333344</c:v>
                </c:pt>
                <c:pt idx="56">
                  <c:v>0.85698666666666679</c:v>
                </c:pt>
                <c:pt idx="57">
                  <c:v>0.85704000000000014</c:v>
                </c:pt>
                <c:pt idx="58">
                  <c:v>0.85709333333333337</c:v>
                </c:pt>
                <c:pt idx="59">
                  <c:v>0.85714666666666672</c:v>
                </c:pt>
                <c:pt idx="60">
                  <c:v>0.85720000000000007</c:v>
                </c:pt>
                <c:pt idx="61">
                  <c:v>0.85725333333333342</c:v>
                </c:pt>
                <c:pt idx="62">
                  <c:v>0.85730666666666677</c:v>
                </c:pt>
                <c:pt idx="63">
                  <c:v>0.85736000000000012</c:v>
                </c:pt>
                <c:pt idx="64">
                  <c:v>0.85741333333333347</c:v>
                </c:pt>
                <c:pt idx="65">
                  <c:v>0.85746666666666671</c:v>
                </c:pt>
                <c:pt idx="66">
                  <c:v>0.85752000000000006</c:v>
                </c:pt>
                <c:pt idx="67">
                  <c:v>0.85757333333333341</c:v>
                </c:pt>
                <c:pt idx="68">
                  <c:v>0.85762666666666676</c:v>
                </c:pt>
                <c:pt idx="69">
                  <c:v>0.85768000000000011</c:v>
                </c:pt>
                <c:pt idx="70">
                  <c:v>0.85773333333333346</c:v>
                </c:pt>
                <c:pt idx="71">
                  <c:v>0.85778666666666681</c:v>
                </c:pt>
                <c:pt idx="72">
                  <c:v>0.85784000000000005</c:v>
                </c:pt>
                <c:pt idx="73">
                  <c:v>0.8578933333333334</c:v>
                </c:pt>
                <c:pt idx="74">
                  <c:v>0.85794666666666675</c:v>
                </c:pt>
                <c:pt idx="75">
                  <c:v>0.8580000000000001</c:v>
                </c:pt>
                <c:pt idx="76">
                  <c:v>0.85805333333333345</c:v>
                </c:pt>
                <c:pt idx="77">
                  <c:v>0.8581066666666668</c:v>
                </c:pt>
                <c:pt idx="78">
                  <c:v>0.85816000000000014</c:v>
                </c:pt>
                <c:pt idx="79">
                  <c:v>0.85821333333333338</c:v>
                </c:pt>
                <c:pt idx="80">
                  <c:v>0.85826666666666673</c:v>
                </c:pt>
                <c:pt idx="81">
                  <c:v>0.85832000000000008</c:v>
                </c:pt>
                <c:pt idx="82">
                  <c:v>0.85837333333333343</c:v>
                </c:pt>
                <c:pt idx="83">
                  <c:v>0.85842666666666678</c:v>
                </c:pt>
                <c:pt idx="84">
                  <c:v>0.85848000000000013</c:v>
                </c:pt>
                <c:pt idx="85">
                  <c:v>0.85853333333333337</c:v>
                </c:pt>
                <c:pt idx="86">
                  <c:v>0.85858666666666672</c:v>
                </c:pt>
                <c:pt idx="87">
                  <c:v>0.85864000000000007</c:v>
                </c:pt>
                <c:pt idx="88">
                  <c:v>0.85869333333333342</c:v>
                </c:pt>
                <c:pt idx="89">
                  <c:v>0.85874666666666677</c:v>
                </c:pt>
                <c:pt idx="90">
                  <c:v>0.85880000000000012</c:v>
                </c:pt>
                <c:pt idx="91">
                  <c:v>0.85885333333333347</c:v>
                </c:pt>
                <c:pt idx="92">
                  <c:v>0.85890666666666671</c:v>
                </c:pt>
                <c:pt idx="93">
                  <c:v>0.85896000000000006</c:v>
                </c:pt>
                <c:pt idx="94">
                  <c:v>0.85901333333333341</c:v>
                </c:pt>
                <c:pt idx="95">
                  <c:v>0.85906666666666676</c:v>
                </c:pt>
                <c:pt idx="96">
                  <c:v>0.85912000000000011</c:v>
                </c:pt>
                <c:pt idx="97">
                  <c:v>0.85917333333333346</c:v>
                </c:pt>
                <c:pt idx="98">
                  <c:v>0.85922666666666681</c:v>
                </c:pt>
                <c:pt idx="99">
                  <c:v>0.85928000000000004</c:v>
                </c:pt>
                <c:pt idx="100">
                  <c:v>0.85933333333333339</c:v>
                </c:pt>
                <c:pt idx="101">
                  <c:v>0.85938666666666674</c:v>
                </c:pt>
                <c:pt idx="102">
                  <c:v>0.85944000000000009</c:v>
                </c:pt>
                <c:pt idx="103">
                  <c:v>0.85949333333333344</c:v>
                </c:pt>
                <c:pt idx="104">
                  <c:v>0.85954666666666679</c:v>
                </c:pt>
                <c:pt idx="105">
                  <c:v>0.85960000000000014</c:v>
                </c:pt>
                <c:pt idx="106">
                  <c:v>0.85965333333333338</c:v>
                </c:pt>
                <c:pt idx="107">
                  <c:v>0.85970666666666673</c:v>
                </c:pt>
                <c:pt idx="108">
                  <c:v>0.85976000000000008</c:v>
                </c:pt>
                <c:pt idx="109">
                  <c:v>0.85981333333333343</c:v>
                </c:pt>
                <c:pt idx="110">
                  <c:v>0.85986666666666678</c:v>
                </c:pt>
                <c:pt idx="111">
                  <c:v>0.85992000000000013</c:v>
                </c:pt>
                <c:pt idx="112">
                  <c:v>0.85997333333333348</c:v>
                </c:pt>
                <c:pt idx="113">
                  <c:v>0.86002666666666672</c:v>
                </c:pt>
                <c:pt idx="114">
                  <c:v>0.86008000000000007</c:v>
                </c:pt>
                <c:pt idx="115">
                  <c:v>0.86013333333333342</c:v>
                </c:pt>
                <c:pt idx="116">
                  <c:v>0.86018666666666677</c:v>
                </c:pt>
                <c:pt idx="117">
                  <c:v>0.86024000000000012</c:v>
                </c:pt>
                <c:pt idx="118">
                  <c:v>0.86029333333333347</c:v>
                </c:pt>
                <c:pt idx="119">
                  <c:v>0.86034666666666682</c:v>
                </c:pt>
                <c:pt idx="120">
                  <c:v>0.86040000000000005</c:v>
                </c:pt>
                <c:pt idx="121">
                  <c:v>0.8604533333333334</c:v>
                </c:pt>
                <c:pt idx="122">
                  <c:v>0.86050666666666675</c:v>
                </c:pt>
                <c:pt idx="123">
                  <c:v>0.8605600000000001</c:v>
                </c:pt>
                <c:pt idx="124">
                  <c:v>0.86061333333333345</c:v>
                </c:pt>
                <c:pt idx="125">
                  <c:v>0.8606666666666668</c:v>
                </c:pt>
                <c:pt idx="126">
                  <c:v>0.86072000000000004</c:v>
                </c:pt>
                <c:pt idx="127">
                  <c:v>0.86077333333333339</c:v>
                </c:pt>
                <c:pt idx="128">
                  <c:v>0.86082666666666674</c:v>
                </c:pt>
                <c:pt idx="129">
                  <c:v>0.86088000000000009</c:v>
                </c:pt>
                <c:pt idx="130">
                  <c:v>0.86093333333333344</c:v>
                </c:pt>
                <c:pt idx="131">
                  <c:v>0.86098666666666679</c:v>
                </c:pt>
                <c:pt idx="132">
                  <c:v>0.86104000000000014</c:v>
                </c:pt>
                <c:pt idx="133">
                  <c:v>0.86109333333333338</c:v>
                </c:pt>
                <c:pt idx="134">
                  <c:v>0.86114666666666673</c:v>
                </c:pt>
                <c:pt idx="135">
                  <c:v>0.86120000000000008</c:v>
                </c:pt>
                <c:pt idx="136">
                  <c:v>0.86125333333333343</c:v>
                </c:pt>
                <c:pt idx="137">
                  <c:v>0.86130666666666678</c:v>
                </c:pt>
                <c:pt idx="138">
                  <c:v>0.86136000000000013</c:v>
                </c:pt>
                <c:pt idx="139">
                  <c:v>0.86141333333333348</c:v>
                </c:pt>
                <c:pt idx="140">
                  <c:v>0.86146666666666671</c:v>
                </c:pt>
                <c:pt idx="141">
                  <c:v>0.86152000000000006</c:v>
                </c:pt>
                <c:pt idx="142">
                  <c:v>0.86157333333333341</c:v>
                </c:pt>
                <c:pt idx="143">
                  <c:v>0.86162666666666676</c:v>
                </c:pt>
                <c:pt idx="144">
                  <c:v>0.86168000000000011</c:v>
                </c:pt>
                <c:pt idx="145">
                  <c:v>0.86173333333333346</c:v>
                </c:pt>
                <c:pt idx="146">
                  <c:v>0.86178666666666681</c:v>
                </c:pt>
                <c:pt idx="147">
                  <c:v>0.86184000000000005</c:v>
                </c:pt>
                <c:pt idx="148">
                  <c:v>0.8618933333333334</c:v>
                </c:pt>
                <c:pt idx="149">
                  <c:v>0.86194666666666675</c:v>
                </c:pt>
                <c:pt idx="150">
                  <c:v>0.8620000000000001</c:v>
                </c:pt>
              </c:numCache>
            </c:numRef>
          </c:yVal>
          <c:smooth val="1"/>
          <c:extLst>
            <c:ext xmlns:c16="http://schemas.microsoft.com/office/drawing/2014/chart" uri="{C3380CC4-5D6E-409C-BE32-E72D297353CC}">
              <c16:uniqueId val="{00000002-EBB2-49C9-A014-1F538461E4EA}"/>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Eff_vs_IOUT!$AO$7:$AO$157</c:f>
              <c:numCache>
                <c:formatCode>General</c:formatCode>
                <c:ptCount val="151"/>
                <c:pt idx="0">
                  <c:v>0</c:v>
                </c:pt>
                <c:pt idx="1">
                  <c:v>1.0224465647542561E-5</c:v>
                </c:pt>
                <c:pt idx="2">
                  <c:v>2.8919155973544998E-5</c:v>
                </c:pt>
                <c:pt idx="3">
                  <c:v>5.3127881945359003E-5</c:v>
                </c:pt>
                <c:pt idx="4">
                  <c:v>8.1795725180340472E-5</c:v>
                </c:pt>
                <c:pt idx="5">
                  <c:v>1.143130011075828E-4</c:v>
                </c:pt>
                <c:pt idx="6">
                  <c:v>1.502683423745668E-4</c:v>
                </c:pt>
                <c:pt idx="7">
                  <c:v>1.8935975374344402E-4</c:v>
                </c:pt>
                <c:pt idx="8">
                  <c:v>2.3135324778836001E-4</c:v>
                </c:pt>
                <c:pt idx="9">
                  <c:v>2.7606057248364893E-4</c:v>
                </c:pt>
                <c:pt idx="10">
                  <c:v>3.233259930438286E-4</c:v>
                </c:pt>
                <c:pt idx="11">
                  <c:v>3.7301787858254483E-4</c:v>
                </c:pt>
                <c:pt idx="12">
                  <c:v>4.2502305556287208E-4</c:v>
                </c:pt>
                <c:pt idx="13">
                  <c:v>4.7924285703365255E-4</c:v>
                </c:pt>
                <c:pt idx="14">
                  <c:v>5.3559026382321638E-4</c:v>
                </c:pt>
                <c:pt idx="15">
                  <c:v>5.9398777765203221E-4</c:v>
                </c:pt>
                <c:pt idx="16">
                  <c:v>6.5436580144272389E-4</c:v>
                </c:pt>
                <c:pt idx="17">
                  <c:v>7.1666138111539299E-4</c:v>
                </c:pt>
                <c:pt idx="18">
                  <c:v>7.80817211285715E-4</c:v>
                </c:pt>
                <c:pt idx="19">
                  <c:v>8.4678083767748239E-4</c:v>
                </c:pt>
                <c:pt idx="20">
                  <c:v>9.1450400886066243E-4</c:v>
                </c:pt>
                <c:pt idx="21">
                  <c:v>9.8394214317712838E-4</c:v>
                </c:pt>
                <c:pt idx="22">
                  <c:v>1.0550538857981516E-3</c:v>
                </c:pt>
                <c:pt idx="23">
                  <c:v>1.1278007372147896E-3</c:v>
                </c:pt>
                <c:pt idx="24">
                  <c:v>1.2021467389965344E-3</c:v>
                </c:pt>
                <c:pt idx="25">
                  <c:v>1.2780582059428191E-3</c:v>
                </c:pt>
                <c:pt idx="26">
                  <c:v>1.3555034961748431E-3</c:v>
                </c:pt>
                <c:pt idx="27">
                  <c:v>1.4344528125246926E-3</c:v>
                </c:pt>
                <c:pt idx="28">
                  <c:v>1.5148780299475521E-3</c:v>
                </c:pt>
                <c:pt idx="29">
                  <c:v>1.5967525447301545E-3</c:v>
                </c:pt>
                <c:pt idx="30">
                  <c:v>1.6800511420787163E-3</c:v>
                </c:pt>
                <c:pt idx="31">
                  <c:v>1.7647498793023843E-3</c:v>
                </c:pt>
                <c:pt idx="32">
                  <c:v>1.8508259823068799E-3</c:v>
                </c:pt>
                <c:pt idx="33">
                  <c:v>1.938257753509579E-3</c:v>
                </c:pt>
                <c:pt idx="34">
                  <c:v>2.0270244896048446E-3</c:v>
                </c:pt>
                <c:pt idx="35">
                  <c:v>2.1171064078648058E-3</c:v>
                </c:pt>
                <c:pt idx="36">
                  <c:v>2.2084845798691919E-3</c:v>
                </c:pt>
                <c:pt idx="37">
                  <c:v>2.3011408717281481E-3</c:v>
                </c:pt>
                <c:pt idx="38">
                  <c:v>2.3950578900022914E-3</c:v>
                </c:pt>
                <c:pt idx="39">
                  <c:v>2.4902189326402617E-3</c:v>
                </c:pt>
                <c:pt idx="40">
                  <c:v>2.5866079443506275E-3</c:v>
                </c:pt>
                <c:pt idx="41">
                  <c:v>2.6842094759057505E-3</c:v>
                </c:pt>
                <c:pt idx="42">
                  <c:v>2.7830086469430885E-3</c:v>
                </c:pt>
                <c:pt idx="43">
                  <c:v>2.8829911118867118E-3</c:v>
                </c:pt>
                <c:pt idx="44">
                  <c:v>2.9841430286603604E-3</c:v>
                </c:pt>
                <c:pt idx="45">
                  <c:v>3.0864510299047345E-3</c:v>
                </c:pt>
                <c:pt idx="46">
                  <c:v>3.189902196447061E-3</c:v>
                </c:pt>
                <c:pt idx="47">
                  <c:v>3.2944840328012251E-3</c:v>
                </c:pt>
                <c:pt idx="48">
                  <c:v>3.4001844445029762E-3</c:v>
                </c:pt>
                <c:pt idx="49">
                  <c:v>3.5069917171070982E-3</c:v>
                </c:pt>
                <c:pt idx="50">
                  <c:v>3.6148944966931237E-3</c:v>
                </c:pt>
                <c:pt idx="51">
                  <c:v>3.7238817717430298E-3</c:v>
                </c:pt>
                <c:pt idx="52">
                  <c:v>3.8339428562692195E-3</c:v>
                </c:pt>
                <c:pt idx="53">
                  <c:v>3.9450673740840251E-3</c:v>
                </c:pt>
                <c:pt idx="54">
                  <c:v>4.0572452441133009E-3</c:v>
                </c:pt>
                <c:pt idx="55">
                  <c:v>4.1704666666666701E-3</c:v>
                </c:pt>
                <c:pt idx="56">
                  <c:v>4.2847221105857302E-3</c:v>
                </c:pt>
                <c:pt idx="57">
                  <c:v>4.4000023011993971E-3</c:v>
                </c:pt>
                <c:pt idx="58">
                  <c:v>4.5162982090222736E-3</c:v>
                </c:pt>
                <c:pt idx="59">
                  <c:v>4.6336010391381625E-3</c:v>
                </c:pt>
                <c:pt idx="60">
                  <c:v>4.7519022212162568E-3</c:v>
                </c:pt>
                <c:pt idx="61">
                  <c:v>4.871193400112315E-3</c:v>
                </c:pt>
                <c:pt idx="62">
                  <c:v>4.9914664270114314E-3</c:v>
                </c:pt>
                <c:pt idx="63">
                  <c:v>5.1127133510729915E-3</c:v>
                </c:pt>
                <c:pt idx="64">
                  <c:v>5.2349264115417902E-3</c:v>
                </c:pt>
                <c:pt idx="65">
                  <c:v>5.3580980302923003E-3</c:v>
                </c:pt>
                <c:pt idx="66">
                  <c:v>5.4822208047761089E-3</c:v>
                </c:pt>
                <c:pt idx="67">
                  <c:v>5.6072875013448154E-3</c:v>
                </c:pt>
                <c:pt idx="68">
                  <c:v>5.7332910489231439E-3</c:v>
                </c:pt>
                <c:pt idx="69">
                  <c:v>5.8602245330089554E-3</c:v>
                </c:pt>
                <c:pt idx="70">
                  <c:v>5.9880811899787906E-3</c:v>
                </c:pt>
                <c:pt idx="71">
                  <c:v>6.1168544016792026E-3</c:v>
                </c:pt>
                <c:pt idx="72">
                  <c:v>6.2465376902857209E-3</c:v>
                </c:pt>
                <c:pt idx="73">
                  <c:v>6.3771247134126047E-3</c:v>
                </c:pt>
                <c:pt idx="74">
                  <c:v>6.5086092594579875E-3</c:v>
                </c:pt>
                <c:pt idx="75">
                  <c:v>6.6409852431698752E-3</c:v>
                </c:pt>
                <c:pt idx="76">
                  <c:v>6.7742467014198574E-3</c:v>
                </c:pt>
                <c:pt idx="77">
                  <c:v>6.9083877891721003E-3</c:v>
                </c:pt>
                <c:pt idx="78">
                  <c:v>7.0434027756362226E-3</c:v>
                </c:pt>
                <c:pt idx="79">
                  <c:v>7.1792860405932996E-3</c:v>
                </c:pt>
                <c:pt idx="80">
                  <c:v>7.3160320708852995E-3</c:v>
                </c:pt>
                <c:pt idx="81">
                  <c:v>7.4536354570585231E-3</c:v>
                </c:pt>
                <c:pt idx="82">
                  <c:v>7.5920908901525759E-3</c:v>
                </c:pt>
                <c:pt idx="83">
                  <c:v>7.7313931586268638E-3</c:v>
                </c:pt>
                <c:pt idx="84">
                  <c:v>7.8715371454170235E-3</c:v>
                </c:pt>
                <c:pt idx="85">
                  <c:v>8.0125178251145134E-3</c:v>
                </c:pt>
                <c:pt idx="86">
                  <c:v>8.1543302612625563E-3</c:v>
                </c:pt>
                <c:pt idx="87">
                  <c:v>8.2969696037625724E-3</c:v>
                </c:pt>
                <c:pt idx="88">
                  <c:v>8.4404310863852149E-3</c:v>
                </c:pt>
                <c:pt idx="89">
                  <c:v>8.584710024380689E-3</c:v>
                </c:pt>
                <c:pt idx="90">
                  <c:v>8.7298018121833697E-3</c:v>
                </c:pt>
                <c:pt idx="91">
                  <c:v>8.8757019212058787E-3</c:v>
                </c:pt>
                <c:pt idx="92">
                  <c:v>9.0224058977183171E-3</c:v>
                </c:pt>
                <c:pt idx="93">
                  <c:v>9.1699093608083194E-3</c:v>
                </c:pt>
                <c:pt idx="94">
                  <c:v>9.3182080004182034E-3</c:v>
                </c:pt>
                <c:pt idx="95">
                  <c:v>9.4672975754553253E-3</c:v>
                </c:pt>
                <c:pt idx="96">
                  <c:v>9.6171739119722752E-3</c:v>
                </c:pt>
                <c:pt idx="97">
                  <c:v>9.7678329014135833E-3</c:v>
                </c:pt>
                <c:pt idx="98">
                  <c:v>9.9192704989259344E-3</c:v>
                </c:pt>
                <c:pt idx="99">
                  <c:v>1.0071482721728718E-2</c:v>
                </c:pt>
                <c:pt idx="100">
                  <c:v>1.0224465647542556E-2</c:v>
                </c:pt>
                <c:pt idx="101">
                  <c:v>1.0378215413072817E-2</c:v>
                </c:pt>
                <c:pt idx="102">
                  <c:v>1.0532728212545884E-2</c:v>
                </c:pt>
                <c:pt idx="103">
                  <c:v>1.0688000296295738E-2</c:v>
                </c:pt>
                <c:pt idx="104">
                  <c:v>1.0844027969398743E-2</c:v>
                </c:pt>
                <c:pt idx="105">
                  <c:v>1.1000807590354449E-2</c:v>
                </c:pt>
                <c:pt idx="106">
                  <c:v>1.1158335569810482E-2</c:v>
                </c:pt>
                <c:pt idx="107">
                  <c:v>1.1316608369329663E-2</c:v>
                </c:pt>
                <c:pt idx="108">
                  <c:v>1.1475622500197541E-2</c:v>
                </c:pt>
                <c:pt idx="109">
                  <c:v>1.163537452226863E-2</c:v>
                </c:pt>
                <c:pt idx="110">
                  <c:v>1.1795861042849834E-2</c:v>
                </c:pt>
                <c:pt idx="111">
                  <c:v>1.1957078715619464E-2</c:v>
                </c:pt>
                <c:pt idx="112">
                  <c:v>1.2119024239580417E-2</c:v>
                </c:pt>
                <c:pt idx="113">
                  <c:v>1.2281694358046142E-2</c:v>
                </c:pt>
                <c:pt idx="114">
                  <c:v>1.2445085857658036E-2</c:v>
                </c:pt>
                <c:pt idx="115">
                  <c:v>1.2609195567433227E-2</c:v>
                </c:pt>
                <c:pt idx="116">
                  <c:v>1.2774020357841235E-2</c:v>
                </c:pt>
                <c:pt idx="117">
                  <c:v>1.293955713990862E-2</c:v>
                </c:pt>
                <c:pt idx="118">
                  <c:v>1.3105802864350508E-2</c:v>
                </c:pt>
                <c:pt idx="119">
                  <c:v>1.3272754520727875E-2</c:v>
                </c:pt>
                <c:pt idx="120">
                  <c:v>1.3440409136629732E-2</c:v>
                </c:pt>
                <c:pt idx="121">
                  <c:v>1.3608763776879144E-2</c:v>
                </c:pt>
                <c:pt idx="122">
                  <c:v>1.3777815542762297E-2</c:v>
                </c:pt>
                <c:pt idx="123">
                  <c:v>1.3947561571279753E-2</c:v>
                </c:pt>
                <c:pt idx="124">
                  <c:v>1.411799903441908E-2</c:v>
                </c:pt>
                <c:pt idx="125">
                  <c:v>1.428912513844785E-2</c:v>
                </c:pt>
                <c:pt idx="126">
                  <c:v>1.446093712322684E-2</c:v>
                </c:pt>
                <c:pt idx="127">
                  <c:v>1.4633432261541996E-2</c:v>
                </c:pt>
                <c:pt idx="128">
                  <c:v>1.4806607858455041E-2</c:v>
                </c:pt>
                <c:pt idx="129">
                  <c:v>1.4980461250671819E-2</c:v>
                </c:pt>
                <c:pt idx="130">
                  <c:v>1.5154989805927874E-2</c:v>
                </c:pt>
                <c:pt idx="131">
                  <c:v>1.5330190922390439E-2</c:v>
                </c:pt>
                <c:pt idx="132">
                  <c:v>1.5506062028076632E-2</c:v>
                </c:pt>
                <c:pt idx="133">
                  <c:v>1.5682600580286997E-2</c:v>
                </c:pt>
                <c:pt idx="134">
                  <c:v>1.5859804065053964E-2</c:v>
                </c:pt>
                <c:pt idx="135">
                  <c:v>1.6037669996604869E-2</c:v>
                </c:pt>
                <c:pt idx="136">
                  <c:v>1.6216195916838757E-2</c:v>
                </c:pt>
                <c:pt idx="137">
                  <c:v>1.6395379394816771E-2</c:v>
                </c:pt>
                <c:pt idx="138">
                  <c:v>1.6575218026265603E-2</c:v>
                </c:pt>
                <c:pt idx="139">
                  <c:v>1.6755709433093485E-2</c:v>
                </c:pt>
                <c:pt idx="140">
                  <c:v>1.693685126291845E-2</c:v>
                </c:pt>
                <c:pt idx="141">
                  <c:v>1.71186411886084E-2</c:v>
                </c:pt>
                <c:pt idx="142">
                  <c:v>1.7301076907832579E-2</c:v>
                </c:pt>
                <c:pt idx="143">
                  <c:v>1.7484156142624174E-2</c:v>
                </c:pt>
                <c:pt idx="144">
                  <c:v>1.7667876638953531E-2</c:v>
                </c:pt>
                <c:pt idx="145">
                  <c:v>1.7852236166311992E-2</c:v>
                </c:pt>
                <c:pt idx="146">
                  <c:v>1.803723251730549E-2</c:v>
                </c:pt>
                <c:pt idx="147">
                  <c:v>1.8222863507258141E-2</c:v>
                </c:pt>
                <c:pt idx="148">
                  <c:v>1.8409126973825185E-2</c:v>
                </c:pt>
                <c:pt idx="149">
                  <c:v>1.8596020776615155E-2</c:v>
                </c:pt>
                <c:pt idx="150">
                  <c:v>1.8783542796820842E-2</c:v>
                </c:pt>
              </c:numCache>
            </c:numRef>
          </c:yVal>
          <c:smooth val="1"/>
          <c:extLst>
            <c:ext xmlns:c16="http://schemas.microsoft.com/office/drawing/2014/chart" uri="{C3380CC4-5D6E-409C-BE32-E72D297353CC}">
              <c16:uniqueId val="{00000003-EBB2-49C9-A014-1F538461E4EA}"/>
            </c:ext>
          </c:extLst>
        </c:ser>
        <c:dLbls>
          <c:showLegendKey val="0"/>
          <c:showVal val="0"/>
          <c:showCatName val="0"/>
          <c:showSerName val="0"/>
          <c:showPercent val="0"/>
          <c:showBubbleSize val="0"/>
        </c:dLbls>
        <c:axId val="157162112"/>
        <c:axId val="157160192"/>
      </c:scatterChart>
      <c:valAx>
        <c:axId val="144893056"/>
        <c:scaling>
          <c:orientation val="minMax"/>
        </c:scaling>
        <c:delete val="0"/>
        <c:axPos val="b"/>
        <c:majorGridlines/>
        <c:numFmt formatCode="General" sourceLinked="1"/>
        <c:majorTickMark val="out"/>
        <c:minorTickMark val="none"/>
        <c:tickLblPos val="nextTo"/>
        <c:crossAx val="144894592"/>
        <c:crosses val="autoZero"/>
        <c:crossBetween val="midCat"/>
      </c:valAx>
      <c:valAx>
        <c:axId val="144894592"/>
        <c:scaling>
          <c:orientation val="minMax"/>
          <c:max val="100"/>
          <c:min val="7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144893056"/>
        <c:crosses val="autoZero"/>
        <c:crossBetween val="midCat"/>
      </c:valAx>
      <c:valAx>
        <c:axId val="157160192"/>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157162112"/>
        <c:crosses val="max"/>
        <c:crossBetween val="midCat"/>
      </c:valAx>
      <c:valAx>
        <c:axId val="157162112"/>
        <c:scaling>
          <c:orientation val="minMax"/>
        </c:scaling>
        <c:delete val="1"/>
        <c:axPos val="b"/>
        <c:title>
          <c:tx>
            <c:rich>
              <a:bodyPr/>
              <a:lstStyle/>
              <a:p>
                <a:pPr>
                  <a:defRPr/>
                </a:pPr>
                <a:r>
                  <a:rPr lang="en-US"/>
                  <a:t>Load</a:t>
                </a:r>
                <a:r>
                  <a:rPr lang="en-US" baseline="0"/>
                  <a:t> Current (A)</a:t>
                </a:r>
                <a:endParaRPr lang="en-US"/>
              </a:p>
            </c:rich>
          </c:tx>
          <c:overlay val="0"/>
        </c:title>
        <c:numFmt formatCode="General" sourceLinked="1"/>
        <c:majorTickMark val="out"/>
        <c:minorTickMark val="none"/>
        <c:tickLblPos val="nextTo"/>
        <c:crossAx val="157160192"/>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Efficiency</a:t>
            </a:r>
          </a:p>
        </c:rich>
      </c:tx>
      <c:overlay val="0"/>
    </c:title>
    <c:autoTitleDeleted val="0"/>
    <c:plotArea>
      <c:layout/>
      <c:scatterChart>
        <c:scatterStyle val="smoothMarker"/>
        <c:varyColors val="0"/>
        <c:ser>
          <c:idx val="0"/>
          <c:order val="0"/>
          <c:tx>
            <c:v>Eff</c:v>
          </c:tx>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Eff_vs_IOUT!$AT$7:$AT$157</c:f>
              <c:numCache>
                <c:formatCode>General</c:formatCode>
                <c:ptCount val="151"/>
                <c:pt idx="0">
                  <c:v>0</c:v>
                </c:pt>
                <c:pt idx="1">
                  <c:v>1.2739370890355757</c:v>
                </c:pt>
                <c:pt idx="2">
                  <c:v>2.5145288177679066</c:v>
                </c:pt>
                <c:pt idx="3">
                  <c:v>3.7230225804615915</c:v>
                </c:pt>
                <c:pt idx="4">
                  <c:v>4.9006155689063595</c:v>
                </c:pt>
                <c:pt idx="5">
                  <c:v>6.0484513561556534</c:v>
                </c:pt>
                <c:pt idx="6">
                  <c:v>7.1676209469100058</c:v>
                </c:pt>
                <c:pt idx="7">
                  <c:v>8.2591648386577035</c:v>
                </c:pt>
                <c:pt idx="8">
                  <c:v>9.3240753831229028</c:v>
                </c:pt>
                <c:pt idx="9">
                  <c:v>10.36329920626541</c:v>
                </c:pt>
                <c:pt idx="10">
                  <c:v>11.377739587335169</c:v>
                </c:pt>
                <c:pt idx="11">
                  <c:v>12.368258752640623</c:v>
                </c:pt>
                <c:pt idx="12">
                  <c:v>13.335680064403807</c:v>
                </c:pt>
                <c:pt idx="13">
                  <c:v>14.280790097216322</c:v>
                </c:pt>
                <c:pt idx="14">
                  <c:v>15.204340600926573</c:v>
                </c:pt>
                <c:pt idx="15">
                  <c:v>16.107050352171122</c:v>
                </c:pt>
                <c:pt idx="16">
                  <c:v>16.989606898574198</c:v>
                </c:pt>
                <c:pt idx="17">
                  <c:v>17.852668200569379</c:v>
                </c:pt>
                <c:pt idx="18">
                  <c:v>18.696864176218085</c:v>
                </c:pt>
                <c:pt idx="19">
                  <c:v>19.522798154519464</c:v>
                </c:pt>
                <c:pt idx="20">
                  <c:v>20.331048242647199</c:v>
                </c:pt>
                <c:pt idx="21">
                  <c:v>21.122168612385309</c:v>
                </c:pt>
                <c:pt idx="22">
                  <c:v>21.896690710811125</c:v>
                </c:pt>
                <c:pt idx="23">
                  <c:v>22.655124400018451</c:v>
                </c:pt>
                <c:pt idx="24">
                  <c:v>23.397959030405257</c:v>
                </c:pt>
                <c:pt idx="25">
                  <c:v>24.125664451778714</c:v>
                </c:pt>
                <c:pt idx="26">
                  <c:v>24.838691966263944</c:v>
                </c:pt>
                <c:pt idx="27">
                  <c:v>25.537475226745158</c:v>
                </c:pt>
                <c:pt idx="28">
                  <c:v>26.222431084322</c:v>
                </c:pt>
                <c:pt idx="29">
                  <c:v>26.893960388030706</c:v>
                </c:pt>
                <c:pt idx="30">
                  <c:v>27.552448739860314</c:v>
                </c:pt>
                <c:pt idx="31">
                  <c:v>28.198267207888051</c:v>
                </c:pt>
                <c:pt idx="32">
                  <c:v>28.831773000165949</c:v>
                </c:pt>
                <c:pt idx="33">
                  <c:v>29.453310101810587</c:v>
                </c:pt>
                <c:pt idx="34">
                  <c:v>30.063209877581059</c:v>
                </c:pt>
                <c:pt idx="35">
                  <c:v>30.661791642074476</c:v>
                </c:pt>
                <c:pt idx="36">
                  <c:v>31.249363199523678</c:v>
                </c:pt>
                <c:pt idx="37">
                  <c:v>31.82622135504764</c:v>
                </c:pt>
                <c:pt idx="38">
                  <c:v>32.392652399080255</c:v>
                </c:pt>
                <c:pt idx="39">
                  <c:v>32.948932566587388</c:v>
                </c:pt>
                <c:pt idx="40">
                  <c:v>33.495328472574776</c:v>
                </c:pt>
                <c:pt idx="41">
                  <c:v>34.032097525289444</c:v>
                </c:pt>
                <c:pt idx="42">
                  <c:v>34.559488318424869</c:v>
                </c:pt>
                <c:pt idx="43">
                  <c:v>35.077741003553918</c:v>
                </c:pt>
                <c:pt idx="44">
                  <c:v>35.587087643934204</c:v>
                </c:pt>
                <c:pt idx="45">
                  <c:v>36.087752550755766</c:v>
                </c:pt>
                <c:pt idx="46">
                  <c:v>36.579952602832506</c:v>
                </c:pt>
                <c:pt idx="47">
                  <c:v>37.06389755067466</c:v>
                </c:pt>
                <c:pt idx="48">
                  <c:v>37.539790305819814</c:v>
                </c:pt>
                <c:pt idx="49">
                  <c:v>38.007827216244969</c:v>
                </c:pt>
                <c:pt idx="50">
                  <c:v>38.468198328630059</c:v>
                </c:pt>
                <c:pt idx="51">
                  <c:v>38.921087638195985</c:v>
                </c:pt>
                <c:pt idx="52">
                  <c:v>39.366673326794839</c:v>
                </c:pt>
                <c:pt idx="53">
                  <c:v>39.805127989888959</c:v>
                </c:pt>
                <c:pt idx="54">
                  <c:v>40.236618853016068</c:v>
                </c:pt>
                <c:pt idx="55">
                  <c:v>40.66130797830214</c:v>
                </c:pt>
                <c:pt idx="56">
                  <c:v>41.079352461549092</c:v>
                </c:pt>
                <c:pt idx="57">
                  <c:v>41.490904620393735</c:v>
                </c:pt>
                <c:pt idx="58">
                  <c:v>41.896112174004266</c:v>
                </c:pt>
                <c:pt idx="59">
                  <c:v>42.295118414753382</c:v>
                </c:pt>
                <c:pt idx="60">
                  <c:v>42.688062372281479</c:v>
                </c:pt>
                <c:pt idx="61">
                  <c:v>43.075078970338978</c:v>
                </c:pt>
                <c:pt idx="62">
                  <c:v>43.45629917677482</c:v>
                </c:pt>
                <c:pt idx="63">
                  <c:v>43.831850147016802</c:v>
                </c:pt>
                <c:pt idx="64">
                  <c:v>44.201855361369624</c:v>
                </c:pt>
                <c:pt idx="65">
                  <c:v>44.566434756438525</c:v>
                </c:pt>
                <c:pt idx="66">
                  <c:v>44.925704850968557</c:v>
                </c:pt>
                <c:pt idx="67">
                  <c:v>45.279778866373618</c:v>
                </c:pt>
                <c:pt idx="68">
                  <c:v>45.628766842214226</c:v>
                </c:pt>
                <c:pt idx="69">
                  <c:v>45.972775746868386</c:v>
                </c:pt>
                <c:pt idx="70">
                  <c:v>46.311909583626964</c:v>
                </c:pt>
                <c:pt idx="71">
                  <c:v>46.64626949243199</c:v>
                </c:pt>
                <c:pt idx="72">
                  <c:v>46.975953847464879</c:v>
                </c:pt>
                <c:pt idx="73">
                  <c:v>47.301058350779975</c:v>
                </c:pt>
                <c:pt idx="74">
                  <c:v>47.621676122168942</c:v>
                </c:pt>
                <c:pt idx="75">
                  <c:v>47.937897785431318</c:v>
                </c:pt>
                <c:pt idx="76">
                  <c:v>48.249811551217206</c:v>
                </c:pt>
                <c:pt idx="77">
                  <c:v>48.55750329659994</c:v>
                </c:pt>
                <c:pt idx="78">
                  <c:v>48.861056641527732</c:v>
                </c:pt>
                <c:pt idx="79">
                  <c:v>49.160553022295922</c:v>
                </c:pt>
                <c:pt idx="80">
                  <c:v>49.456071762174197</c:v>
                </c:pt>
                <c:pt idx="81">
                  <c:v>49.747690139316134</c:v>
                </c:pt>
                <c:pt idx="82">
                  <c:v>50.035483452072107</c:v>
                </c:pt>
                <c:pt idx="83">
                  <c:v>50.319525081820281</c:v>
                </c:pt>
                <c:pt idx="84">
                  <c:v>50.59988655342498</c:v>
                </c:pt>
                <c:pt idx="85">
                  <c:v>50.876637593426025</c:v>
                </c:pt>
                <c:pt idx="86">
                  <c:v>51.149846186057502</c:v>
                </c:pt>
                <c:pt idx="87">
                  <c:v>51.419578627189807</c:v>
                </c:pt>
                <c:pt idx="88">
                  <c:v>51.685899576283923</c:v>
                </c:pt>
                <c:pt idx="89">
                  <c:v>51.948872106442813</c:v>
                </c:pt>
                <c:pt idx="90">
                  <c:v>52.208557752640459</c:v>
                </c:pt>
                <c:pt idx="91">
                  <c:v>52.465016558205626</c:v>
                </c:pt>
                <c:pt idx="92">
                  <c:v>52.718307119633025</c:v>
                </c:pt>
                <c:pt idx="93">
                  <c:v>52.968486629792054</c:v>
                </c:pt>
                <c:pt idx="94">
                  <c:v>53.215610919598952</c:v>
                </c:pt>
                <c:pt idx="95">
                  <c:v>53.459734498216136</c:v>
                </c:pt>
                <c:pt idx="96">
                  <c:v>53.700910591838436</c:v>
                </c:pt>
                <c:pt idx="97">
                  <c:v>53.939191181124357</c:v>
                </c:pt>
                <c:pt idx="98">
                  <c:v>54.174627037326673</c:v>
                </c:pt>
                <c:pt idx="99">
                  <c:v>54.407267757174893</c:v>
                </c:pt>
                <c:pt idx="100">
                  <c:v>54.637161796559631</c:v>
                </c:pt>
                <c:pt idx="101">
                  <c:v>54.864356503066325</c:v>
                </c:pt>
                <c:pt idx="102">
                  <c:v>55.088898147404066</c:v>
                </c:pt>
                <c:pt idx="103">
                  <c:v>55.310831953772677</c:v>
                </c:pt>
                <c:pt idx="104">
                  <c:v>55.53020212921006</c:v>
                </c:pt>
                <c:pt idx="105">
                  <c:v>55.747051891958911</c:v>
                </c:pt>
                <c:pt idx="106">
                  <c:v>55.961423498891293</c:v>
                </c:pt>
                <c:pt idx="107">
                  <c:v>56.173358272026931</c:v>
                </c:pt>
                <c:pt idx="108">
                  <c:v>56.382896624180134</c:v>
                </c:pt>
                <c:pt idx="109">
                  <c:v>56.590078083768461</c:v>
                </c:pt>
                <c:pt idx="110">
                  <c:v>56.794941318814864</c:v>
                </c:pt>
                <c:pt idx="111">
                  <c:v>56.997524160173676</c:v>
                </c:pt>
                <c:pt idx="112">
                  <c:v>57.197863624009607</c:v>
                </c:pt>
                <c:pt idx="113">
                  <c:v>57.395995933557423</c:v>
                </c:pt>
                <c:pt idx="114">
                  <c:v>57.591956540189237</c:v>
                </c:pt>
                <c:pt idx="115">
                  <c:v>57.785780143814634</c:v>
                </c:pt>
                <c:pt idx="116">
                  <c:v>57.97750071263841</c:v>
                </c:pt>
                <c:pt idx="117">
                  <c:v>58.16715150229912</c:v>
                </c:pt>
                <c:pt idx="118">
                  <c:v>58.354765074411162</c:v>
                </c:pt>
                <c:pt idx="119">
                  <c:v>58.540373314531735</c:v>
                </c:pt>
                <c:pt idx="120">
                  <c:v>58.724007449573421</c:v>
                </c:pt>
                <c:pt idx="121">
                  <c:v>58.905698064682298</c:v>
                </c:pt>
                <c:pt idx="122">
                  <c:v>59.085475119600503</c:v>
                </c:pt>
                <c:pt idx="123">
                  <c:v>59.263367964531554</c:v>
                </c:pt>
                <c:pt idx="124">
                  <c:v>59.439405355525857</c:v>
                </c:pt>
                <c:pt idx="125">
                  <c:v>59.613615469403328</c:v>
                </c:pt>
                <c:pt idx="126">
                  <c:v>59.786025918229328</c:v>
                </c:pt>
                <c:pt idx="127">
                  <c:v>59.956663763359138</c:v>
                </c:pt>
                <c:pt idx="128">
                  <c:v>60.125555529066233</c:v>
                </c:pt>
                <c:pt idx="129">
                  <c:v>60.292727215768373</c:v>
                </c:pt>
                <c:pt idx="130">
                  <c:v>60.458204312865469</c:v>
                </c:pt>
                <c:pt idx="131">
                  <c:v>60.622011811202348</c:v>
                </c:pt>
                <c:pt idx="132">
                  <c:v>60.78417421516901</c:v>
                </c:pt>
                <c:pt idx="133">
                  <c:v>60.944715554450958</c:v>
                </c:pt>
                <c:pt idx="134">
                  <c:v>61.103659395440921</c:v>
                </c:pt>
                <c:pt idx="135">
                  <c:v>61.261028852323548</c:v>
                </c:pt>
                <c:pt idx="136">
                  <c:v>61.416846597843765</c:v>
                </c:pt>
                <c:pt idx="137">
                  <c:v>61.571134873769608</c:v>
                </c:pt>
                <c:pt idx="138">
                  <c:v>61.723915501059004</c:v>
                </c:pt>
                <c:pt idx="139">
                  <c:v>61.87520988974088</c:v>
                </c:pt>
                <c:pt idx="140">
                  <c:v>62.025039048519318</c:v>
                </c:pt>
                <c:pt idx="141">
                  <c:v>62.17342359411019</c:v>
                </c:pt>
                <c:pt idx="142">
                  <c:v>62.320383760318698</c:v>
                </c:pt>
                <c:pt idx="143">
                  <c:v>62.465939406866219</c:v>
                </c:pt>
                <c:pt idx="144">
                  <c:v>62.610110027974422</c:v>
                </c:pt>
                <c:pt idx="145">
                  <c:v>62.752914760714532</c:v>
                </c:pt>
                <c:pt idx="146">
                  <c:v>62.894372393129103</c:v>
                </c:pt>
                <c:pt idx="147">
                  <c:v>63.034501372133491</c:v>
                </c:pt>
                <c:pt idx="148">
                  <c:v>63.173319811203918</c:v>
                </c:pt>
                <c:pt idx="149">
                  <c:v>63.310845497858978</c:v>
                </c:pt>
                <c:pt idx="150">
                  <c:v>63.447095900940845</c:v>
                </c:pt>
              </c:numCache>
            </c:numRef>
          </c:yVal>
          <c:smooth val="0"/>
          <c:extLst>
            <c:ext xmlns:c16="http://schemas.microsoft.com/office/drawing/2014/chart" uri="{C3380CC4-5D6E-409C-BE32-E72D297353CC}">
              <c16:uniqueId val="{00000000-8AEF-4CD2-9E91-5056CF00EB36}"/>
            </c:ext>
          </c:extLst>
        </c:ser>
        <c:dLbls>
          <c:showLegendKey val="0"/>
          <c:showVal val="0"/>
          <c:showCatName val="0"/>
          <c:showSerName val="0"/>
          <c:showPercent val="0"/>
          <c:showBubbleSize val="0"/>
        </c:dLbls>
        <c:axId val="145036800"/>
        <c:axId val="145038336"/>
      </c:scatterChart>
      <c:scatterChart>
        <c:scatterStyle val="smoothMarker"/>
        <c:varyColors val="0"/>
        <c:ser>
          <c:idx val="1"/>
          <c:order val="1"/>
          <c:tx>
            <c:v>MOSFET</c:v>
          </c:tx>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Eff_vs_IOUT!$AI$7:$AI$157</c:f>
              <c:numCache>
                <c:formatCode>General</c:formatCode>
                <c:ptCount val="151"/>
                <c:pt idx="0">
                  <c:v>0</c:v>
                </c:pt>
                <c:pt idx="1">
                  <c:v>3.7598317643737229E-4</c:v>
                </c:pt>
                <c:pt idx="2">
                  <c:v>7.5407489816704202E-4</c:v>
                </c:pt>
                <c:pt idx="3">
                  <c:v>1.1335392628127967E-3</c:v>
                </c:pt>
                <c:pt idx="4">
                  <c:v>1.5141136630325742E-3</c:v>
                </c:pt>
                <c:pt idx="5">
                  <c:v>1.8956463262842544E-3</c:v>
                </c:pt>
                <c:pt idx="6">
                  <c:v>2.2780348483545515E-3</c:v>
                </c:pt>
                <c:pt idx="7">
                  <c:v>2.661204051705533E-3</c:v>
                </c:pt>
                <c:pt idx="8">
                  <c:v>3.045095688403528E-3</c:v>
                </c:pt>
                <c:pt idx="9">
                  <c:v>3.4296628957102325E-3</c:v>
                </c:pt>
                <c:pt idx="10">
                  <c:v>3.8148669056045801E-3</c:v>
                </c:pt>
                <c:pt idx="11">
                  <c:v>4.20067495039784E-3</c:v>
                </c:pt>
                <c:pt idx="12">
                  <c:v>4.5870588571031608E-3</c:v>
                </c:pt>
                <c:pt idx="13">
                  <c:v>4.973994063947597E-3</c:v>
                </c:pt>
                <c:pt idx="14">
                  <c:v>5.3614589087118119E-3</c:v>
                </c:pt>
                <c:pt idx="15">
                  <c:v>5.7494340992709052E-3</c:v>
                </c:pt>
                <c:pt idx="16">
                  <c:v>6.137902310394976E-3</c:v>
                </c:pt>
                <c:pt idx="17">
                  <c:v>6.5268478705364759E-3</c:v>
                </c:pt>
                <c:pt idx="18">
                  <c:v>6.9162565143124971E-3</c:v>
                </c:pt>
                <c:pt idx="19">
                  <c:v>7.306115183956411E-3</c:v>
                </c:pt>
                <c:pt idx="20">
                  <c:v>7.6964118679420154E-3</c:v>
                </c:pt>
                <c:pt idx="21">
                  <c:v>8.0871354682820768E-3</c:v>
                </c:pt>
                <c:pt idx="22">
                  <c:v>8.4782756902639107E-3</c:v>
                </c:pt>
                <c:pt idx="23">
                  <c:v>8.8698229499672085E-3</c:v>
                </c:pt>
                <c:pt idx="24">
                  <c:v>9.2617682960379876E-3</c:v>
                </c:pt>
                <c:pt idx="25">
                  <c:v>9.6541033430114324E-3</c:v>
                </c:pt>
                <c:pt idx="26">
                  <c:v>1.004682021407941E-2</c:v>
                </c:pt>
                <c:pt idx="27">
                  <c:v>1.0439911491649058E-2</c:v>
                </c:pt>
                <c:pt idx="28">
                  <c:v>1.0833370174379435E-2</c:v>
                </c:pt>
                <c:pt idx="29">
                  <c:v>1.1227189639644045E-2</c:v>
                </c:pt>
                <c:pt idx="30">
                  <c:v>1.162136361056869E-2</c:v>
                </c:pt>
                <c:pt idx="31">
                  <c:v>1.2015886126951609E-2</c:v>
                </c:pt>
                <c:pt idx="32">
                  <c:v>1.241075151949699E-2</c:v>
                </c:pt>
                <c:pt idx="33">
                  <c:v>1.2805954386891709E-2</c:v>
                </c:pt>
                <c:pt idx="34">
                  <c:v>1.3201489575334154E-2</c:v>
                </c:pt>
                <c:pt idx="35">
                  <c:v>1.3597352160187809E-2</c:v>
                </c:pt>
                <c:pt idx="36">
                  <c:v>1.3993537429484223E-2</c:v>
                </c:pt>
                <c:pt idx="37">
                  <c:v>1.4390040869042312E-2</c:v>
                </c:pt>
                <c:pt idx="38">
                  <c:v>1.478685814900588E-2</c:v>
                </c:pt>
                <c:pt idx="39">
                  <c:v>1.518398511163023E-2</c:v>
                </c:pt>
                <c:pt idx="40">
                  <c:v>1.55814177601726E-2</c:v>
                </c:pt>
                <c:pt idx="41">
                  <c:v>1.5979152248761435E-2</c:v>
                </c:pt>
                <c:pt idx="42">
                  <c:v>1.6377184873136268E-2</c:v>
                </c:pt>
                <c:pt idx="43">
                  <c:v>1.6775512062164367E-2</c:v>
                </c:pt>
                <c:pt idx="44">
                  <c:v>1.717413037005228E-2</c:v>
                </c:pt>
                <c:pt idx="45">
                  <c:v>1.7573036469180778E-2</c:v>
                </c:pt>
                <c:pt idx="46">
                  <c:v>1.7972227143500469E-2</c:v>
                </c:pt>
                <c:pt idx="47">
                  <c:v>1.8371699282432898E-2</c:v>
                </c:pt>
                <c:pt idx="48">
                  <c:v>1.8771449875228441E-2</c:v>
                </c:pt>
                <c:pt idx="49">
                  <c:v>1.9171476005737986E-2</c:v>
                </c:pt>
                <c:pt idx="50">
                  <c:v>1.9571774847560047E-2</c:v>
                </c:pt>
                <c:pt idx="51">
                  <c:v>1.9972343659529494E-2</c:v>
                </c:pt>
                <c:pt idx="52">
                  <c:v>2.0373179781517512E-2</c:v>
                </c:pt>
                <c:pt idx="53">
                  <c:v>2.0774280630515663E-2</c:v>
                </c:pt>
                <c:pt idx="54">
                  <c:v>2.1175643696979985E-2</c:v>
                </c:pt>
                <c:pt idx="55">
                  <c:v>2.1577266541413058E-2</c:v>
                </c:pt>
                <c:pt idx="56">
                  <c:v>2.1979146791164833E-2</c:v>
                </c:pt>
                <c:pt idx="57">
                  <c:v>2.2381282137434195E-2</c:v>
                </c:pt>
                <c:pt idx="58">
                  <c:v>2.2783670332455642E-2</c:v>
                </c:pt>
                <c:pt idx="59">
                  <c:v>2.3186309186856411E-2</c:v>
                </c:pt>
                <c:pt idx="60">
                  <c:v>2.3589196567171174E-2</c:v>
                </c:pt>
                <c:pt idx="61">
                  <c:v>2.3992330393502327E-2</c:v>
                </c:pt>
                <c:pt idx="62">
                  <c:v>2.4395708637315088E-2</c:v>
                </c:pt>
                <c:pt idx="63">
                  <c:v>2.4799329319357653E-2</c:v>
                </c:pt>
                <c:pt idx="64">
                  <c:v>2.5203190507697339E-2</c:v>
                </c:pt>
                <c:pt idx="65">
                  <c:v>2.5607290315864593E-2</c:v>
                </c:pt>
                <c:pt idx="66">
                  <c:v>2.601162690109738E-2</c:v>
                </c:pt>
                <c:pt idx="67">
                  <c:v>2.6416198462678959E-2</c:v>
                </c:pt>
                <c:pt idx="68">
                  <c:v>2.6821003240362934E-2</c:v>
                </c:pt>
                <c:pt idx="69">
                  <c:v>2.7226039512879618E-2</c:v>
                </c:pt>
                <c:pt idx="70">
                  <c:v>2.76313055965185E-2</c:v>
                </c:pt>
                <c:pt idx="71">
                  <c:v>2.8036799843781796E-2</c:v>
                </c:pt>
                <c:pt idx="72">
                  <c:v>2.8442520642104698E-2</c:v>
                </c:pt>
                <c:pt idx="73">
                  <c:v>2.8848466412637996E-2</c:v>
                </c:pt>
                <c:pt idx="74">
                  <c:v>2.9254635609089301E-2</c:v>
                </c:pt>
                <c:pt idx="75">
                  <c:v>2.9661026716619281E-2</c:v>
                </c:pt>
                <c:pt idx="76">
                  <c:v>3.0067638250789605E-2</c:v>
                </c:pt>
                <c:pt idx="77">
                  <c:v>3.047446875655942E-2</c:v>
                </c:pt>
                <c:pt idx="78">
                  <c:v>3.088151680732773E-2</c:v>
                </c:pt>
                <c:pt idx="79">
                  <c:v>3.1288781004018759E-2</c:v>
                </c:pt>
                <c:pt idx="80">
                  <c:v>3.1696259974208038E-2</c:v>
                </c:pt>
                <c:pt idx="81">
                  <c:v>3.2103952371286916E-2</c:v>
                </c:pt>
                <c:pt idx="82">
                  <c:v>3.2511856873663092E-2</c:v>
                </c:pt>
                <c:pt idx="83">
                  <c:v>3.2919972183995644E-2</c:v>
                </c:pt>
                <c:pt idx="84">
                  <c:v>3.3328297028462128E-2</c:v>
                </c:pt>
                <c:pt idx="85">
                  <c:v>3.3736830156056621E-2</c:v>
                </c:pt>
                <c:pt idx="86">
                  <c:v>3.4145570337916452E-2</c:v>
                </c:pt>
                <c:pt idx="87">
                  <c:v>3.4554516366676682E-2</c:v>
                </c:pt>
                <c:pt idx="88">
                  <c:v>3.4963667055850398E-2</c:v>
                </c:pt>
                <c:pt idx="89">
                  <c:v>3.537302123923397E-2</c:v>
                </c:pt>
                <c:pt idx="90">
                  <c:v>3.5782577770335479E-2</c:v>
                </c:pt>
                <c:pt idx="91">
                  <c:v>3.6192335521825783E-2</c:v>
                </c:pt>
                <c:pt idx="92">
                  <c:v>3.6602293385010365E-2</c:v>
                </c:pt>
                <c:pt idx="93">
                  <c:v>3.7012450269321713E-2</c:v>
                </c:pt>
                <c:pt idx="94">
                  <c:v>3.7422805101830568E-2</c:v>
                </c:pt>
                <c:pt idx="95">
                  <c:v>3.7833356826775563E-2</c:v>
                </c:pt>
                <c:pt idx="96">
                  <c:v>3.8244104405110196E-2</c:v>
                </c:pt>
                <c:pt idx="97">
                  <c:v>3.8655046814066452E-2</c:v>
                </c:pt>
                <c:pt idx="98">
                  <c:v>3.9066183046733996E-2</c:v>
                </c:pt>
                <c:pt idx="99">
                  <c:v>3.9477512111654692E-2</c:v>
                </c:pt>
                <c:pt idx="100">
                  <c:v>3.9889033032431347E-2</c:v>
                </c:pt>
                <c:pt idx="101">
                  <c:v>4.0300744847350162E-2</c:v>
                </c:pt>
                <c:pt idx="102">
                  <c:v>4.0712646609016433E-2</c:v>
                </c:pt>
                <c:pt idx="103">
                  <c:v>4.1124737384002678E-2</c:v>
                </c:pt>
                <c:pt idx="104">
                  <c:v>4.153701625250876E-2</c:v>
                </c:pt>
                <c:pt idx="105">
                  <c:v>4.194948230803347E-2</c:v>
                </c:pt>
                <c:pt idx="106">
                  <c:v>4.236213465705721E-2</c:v>
                </c:pt>
                <c:pt idx="107">
                  <c:v>4.2774972418734979E-2</c:v>
                </c:pt>
                <c:pt idx="108">
                  <c:v>4.3187994724599547E-2</c:v>
                </c:pt>
                <c:pt idx="109">
                  <c:v>4.3601200718274259E-2</c:v>
                </c:pt>
                <c:pt idx="110">
                  <c:v>4.4014589555195119E-2</c:v>
                </c:pt>
                <c:pt idx="111">
                  <c:v>4.4428160402341599E-2</c:v>
                </c:pt>
                <c:pt idx="112">
                  <c:v>4.4841912437976153E-2</c:v>
                </c:pt>
                <c:pt idx="113">
                  <c:v>4.5255844851391669E-2</c:v>
                </c:pt>
                <c:pt idx="114">
                  <c:v>4.5669956842666969E-2</c:v>
                </c:pt>
                <c:pt idx="115">
                  <c:v>4.6084247622429741E-2</c:v>
                </c:pt>
                <c:pt idx="116">
                  <c:v>4.6498716411626631E-2</c:v>
                </c:pt>
                <c:pt idx="117">
                  <c:v>4.6913362441300427E-2</c:v>
                </c:pt>
                <c:pt idx="118">
                  <c:v>4.7328184952373842E-2</c:v>
                </c:pt>
                <c:pt idx="119">
                  <c:v>4.7743183195439701E-2</c:v>
                </c:pt>
                <c:pt idx="120">
                  <c:v>4.8158356430557402E-2</c:v>
                </c:pt>
                <c:pt idx="121">
                  <c:v>4.8573703927055234E-2</c:v>
                </c:pt>
                <c:pt idx="122">
                  <c:v>4.8989224963338504E-2</c:v>
                </c:pt>
                <c:pt idx="123">
                  <c:v>4.9404918826703066E-2</c:v>
                </c:pt>
                <c:pt idx="124">
                  <c:v>4.9820784813154342E-2</c:v>
                </c:pt>
                <c:pt idx="125">
                  <c:v>5.0236822227231297E-2</c:v>
                </c:pt>
                <c:pt idx="126">
                  <c:v>5.0653030381835433E-2</c:v>
                </c:pt>
                <c:pt idx="127">
                  <c:v>5.1069408598064546E-2</c:v>
                </c:pt>
                <c:pt idx="128">
                  <c:v>5.1485956205050983E-2</c:v>
                </c:pt>
                <c:pt idx="129">
                  <c:v>5.1902672539804517E-2</c:v>
                </c:pt>
                <c:pt idx="130">
                  <c:v>5.2319556947059316E-2</c:v>
                </c:pt>
                <c:pt idx="131">
                  <c:v>5.2736608779125137E-2</c:v>
                </c:pt>
                <c:pt idx="132">
                  <c:v>5.3153827395742329E-2</c:v>
                </c:pt>
                <c:pt idx="133">
                  <c:v>5.357121216394109E-2</c:v>
                </c:pt>
                <c:pt idx="134">
                  <c:v>5.398876245790394E-2</c:v>
                </c:pt>
                <c:pt idx="135">
                  <c:v>5.440647765883215E-2</c:v>
                </c:pt>
                <c:pt idx="136">
                  <c:v>5.4824357154815477E-2</c:v>
                </c:pt>
                <c:pt idx="137">
                  <c:v>5.5242400340705329E-2</c:v>
                </c:pt>
                <c:pt idx="138">
                  <c:v>5.5660606617991111E-2</c:v>
                </c:pt>
                <c:pt idx="139">
                  <c:v>5.6078975394679757E-2</c:v>
                </c:pt>
                <c:pt idx="140">
                  <c:v>5.6497506085178326E-2</c:v>
                </c:pt>
                <c:pt idx="141">
                  <c:v>5.6916198110179436E-2</c:v>
                </c:pt>
                <c:pt idx="142">
                  <c:v>5.7335050896549715E-2</c:v>
                </c:pt>
                <c:pt idx="143">
                  <c:v>5.7754063877220832E-2</c:v>
                </c:pt>
                <c:pt idx="144">
                  <c:v>5.817323649108324E-2</c:v>
                </c:pt>
                <c:pt idx="145">
                  <c:v>5.8592568182882686E-2</c:v>
                </c:pt>
                <c:pt idx="146">
                  <c:v>5.9012058403118954E-2</c:v>
                </c:pt>
                <c:pt idx="147">
                  <c:v>5.9431706607947159E-2</c:v>
                </c:pt>
                <c:pt idx="148">
                  <c:v>5.985151225908153E-2</c:v>
                </c:pt>
                <c:pt idx="149">
                  <c:v>6.0271474823701154E-2</c:v>
                </c:pt>
                <c:pt idx="150">
                  <c:v>6.0691593774358329E-2</c:v>
                </c:pt>
              </c:numCache>
            </c:numRef>
          </c:yVal>
          <c:smooth val="1"/>
          <c:extLst>
            <c:ext xmlns:c16="http://schemas.microsoft.com/office/drawing/2014/chart" uri="{C3380CC4-5D6E-409C-BE32-E72D297353CC}">
              <c16:uniqueId val="{00000001-8AEF-4CD2-9E91-5056CF00EB36}"/>
            </c:ext>
          </c:extLst>
        </c:ser>
        <c:ser>
          <c:idx val="2"/>
          <c:order val="2"/>
          <c:tx>
            <c:v>Diode</c:v>
          </c:tx>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Eff_vs_IOUT!$AN$7:$AN$157</c:f>
              <c:numCache>
                <c:formatCode>General</c:formatCode>
                <c:ptCount val="151"/>
                <c:pt idx="0">
                  <c:v>0.85400000000000009</c:v>
                </c:pt>
                <c:pt idx="1">
                  <c:v>0.85405333333333344</c:v>
                </c:pt>
                <c:pt idx="2">
                  <c:v>0.85410666666666679</c:v>
                </c:pt>
                <c:pt idx="3">
                  <c:v>0.85416000000000014</c:v>
                </c:pt>
                <c:pt idx="4">
                  <c:v>0.85421333333333338</c:v>
                </c:pt>
                <c:pt idx="5">
                  <c:v>0.85426666666666673</c:v>
                </c:pt>
                <c:pt idx="6">
                  <c:v>0.85432000000000008</c:v>
                </c:pt>
                <c:pt idx="7">
                  <c:v>0.85437333333333343</c:v>
                </c:pt>
                <c:pt idx="8">
                  <c:v>0.85442666666666678</c:v>
                </c:pt>
                <c:pt idx="9">
                  <c:v>0.85448000000000013</c:v>
                </c:pt>
                <c:pt idx="10">
                  <c:v>0.85453333333333348</c:v>
                </c:pt>
                <c:pt idx="11">
                  <c:v>0.85458666666666672</c:v>
                </c:pt>
                <c:pt idx="12">
                  <c:v>0.85464000000000007</c:v>
                </c:pt>
                <c:pt idx="13">
                  <c:v>0.85469333333333342</c:v>
                </c:pt>
                <c:pt idx="14">
                  <c:v>0.85474666666666677</c:v>
                </c:pt>
                <c:pt idx="15">
                  <c:v>0.85480000000000012</c:v>
                </c:pt>
                <c:pt idx="16">
                  <c:v>0.85485333333333346</c:v>
                </c:pt>
                <c:pt idx="17">
                  <c:v>0.8549066666666667</c:v>
                </c:pt>
                <c:pt idx="18">
                  <c:v>0.85496000000000005</c:v>
                </c:pt>
                <c:pt idx="19">
                  <c:v>0.8550133333333334</c:v>
                </c:pt>
                <c:pt idx="20">
                  <c:v>0.85506666666666675</c:v>
                </c:pt>
                <c:pt idx="21">
                  <c:v>0.8551200000000001</c:v>
                </c:pt>
                <c:pt idx="22">
                  <c:v>0.85517333333333345</c:v>
                </c:pt>
                <c:pt idx="23">
                  <c:v>0.8552266666666668</c:v>
                </c:pt>
                <c:pt idx="24">
                  <c:v>0.85528000000000004</c:v>
                </c:pt>
                <c:pt idx="25">
                  <c:v>0.85533333333333339</c:v>
                </c:pt>
                <c:pt idx="26">
                  <c:v>0.85538666666666674</c:v>
                </c:pt>
                <c:pt idx="27">
                  <c:v>0.85544000000000009</c:v>
                </c:pt>
                <c:pt idx="28">
                  <c:v>0.85549333333333344</c:v>
                </c:pt>
                <c:pt idx="29">
                  <c:v>0.85554666666666679</c:v>
                </c:pt>
                <c:pt idx="30">
                  <c:v>0.85560000000000014</c:v>
                </c:pt>
                <c:pt idx="31">
                  <c:v>0.85565333333333338</c:v>
                </c:pt>
                <c:pt idx="32">
                  <c:v>0.85570666666666673</c:v>
                </c:pt>
                <c:pt idx="33">
                  <c:v>0.85576000000000008</c:v>
                </c:pt>
                <c:pt idx="34">
                  <c:v>0.85581333333333343</c:v>
                </c:pt>
                <c:pt idx="35">
                  <c:v>0.85586666666666678</c:v>
                </c:pt>
                <c:pt idx="36">
                  <c:v>0.85592000000000013</c:v>
                </c:pt>
                <c:pt idx="37">
                  <c:v>0.85597333333333347</c:v>
                </c:pt>
                <c:pt idx="38">
                  <c:v>0.85602666666666671</c:v>
                </c:pt>
                <c:pt idx="39">
                  <c:v>0.85608000000000006</c:v>
                </c:pt>
                <c:pt idx="40">
                  <c:v>0.85613333333333341</c:v>
                </c:pt>
                <c:pt idx="41">
                  <c:v>0.85618666666666676</c:v>
                </c:pt>
                <c:pt idx="42">
                  <c:v>0.85624000000000011</c:v>
                </c:pt>
                <c:pt idx="43">
                  <c:v>0.85629333333333346</c:v>
                </c:pt>
                <c:pt idx="44">
                  <c:v>0.85634666666666681</c:v>
                </c:pt>
                <c:pt idx="45">
                  <c:v>0.85640000000000005</c:v>
                </c:pt>
                <c:pt idx="46">
                  <c:v>0.8564533333333334</c:v>
                </c:pt>
                <c:pt idx="47">
                  <c:v>0.85650666666666675</c:v>
                </c:pt>
                <c:pt idx="48">
                  <c:v>0.8565600000000001</c:v>
                </c:pt>
                <c:pt idx="49">
                  <c:v>0.85661333333333345</c:v>
                </c:pt>
                <c:pt idx="50">
                  <c:v>0.8566666666666668</c:v>
                </c:pt>
                <c:pt idx="51">
                  <c:v>0.85672000000000015</c:v>
                </c:pt>
                <c:pt idx="52">
                  <c:v>0.85677333333333339</c:v>
                </c:pt>
                <c:pt idx="53">
                  <c:v>0.85682666666666674</c:v>
                </c:pt>
                <c:pt idx="54">
                  <c:v>0.85688000000000009</c:v>
                </c:pt>
                <c:pt idx="55">
                  <c:v>0.85693333333333344</c:v>
                </c:pt>
                <c:pt idx="56">
                  <c:v>0.85698666666666679</c:v>
                </c:pt>
                <c:pt idx="57">
                  <c:v>0.85704000000000014</c:v>
                </c:pt>
                <c:pt idx="58">
                  <c:v>0.85709333333333337</c:v>
                </c:pt>
                <c:pt idx="59">
                  <c:v>0.85714666666666672</c:v>
                </c:pt>
                <c:pt idx="60">
                  <c:v>0.85720000000000007</c:v>
                </c:pt>
                <c:pt idx="61">
                  <c:v>0.85725333333333342</c:v>
                </c:pt>
                <c:pt idx="62">
                  <c:v>0.85730666666666677</c:v>
                </c:pt>
                <c:pt idx="63">
                  <c:v>0.85736000000000012</c:v>
                </c:pt>
                <c:pt idx="64">
                  <c:v>0.85741333333333347</c:v>
                </c:pt>
                <c:pt idx="65">
                  <c:v>0.85746666666666671</c:v>
                </c:pt>
                <c:pt idx="66">
                  <c:v>0.85752000000000006</c:v>
                </c:pt>
                <c:pt idx="67">
                  <c:v>0.85757333333333341</c:v>
                </c:pt>
                <c:pt idx="68">
                  <c:v>0.85762666666666676</c:v>
                </c:pt>
                <c:pt idx="69">
                  <c:v>0.85768000000000011</c:v>
                </c:pt>
                <c:pt idx="70">
                  <c:v>0.85773333333333346</c:v>
                </c:pt>
                <c:pt idx="71">
                  <c:v>0.85778666666666681</c:v>
                </c:pt>
                <c:pt idx="72">
                  <c:v>0.85784000000000005</c:v>
                </c:pt>
                <c:pt idx="73">
                  <c:v>0.8578933333333334</c:v>
                </c:pt>
                <c:pt idx="74">
                  <c:v>0.85794666666666675</c:v>
                </c:pt>
                <c:pt idx="75">
                  <c:v>0.8580000000000001</c:v>
                </c:pt>
                <c:pt idx="76">
                  <c:v>0.85805333333333345</c:v>
                </c:pt>
                <c:pt idx="77">
                  <c:v>0.8581066666666668</c:v>
                </c:pt>
                <c:pt idx="78">
                  <c:v>0.85816000000000014</c:v>
                </c:pt>
                <c:pt idx="79">
                  <c:v>0.85821333333333338</c:v>
                </c:pt>
                <c:pt idx="80">
                  <c:v>0.85826666666666673</c:v>
                </c:pt>
                <c:pt idx="81">
                  <c:v>0.85832000000000008</c:v>
                </c:pt>
                <c:pt idx="82">
                  <c:v>0.85837333333333343</c:v>
                </c:pt>
                <c:pt idx="83">
                  <c:v>0.85842666666666678</c:v>
                </c:pt>
                <c:pt idx="84">
                  <c:v>0.85848000000000013</c:v>
                </c:pt>
                <c:pt idx="85">
                  <c:v>0.85853333333333337</c:v>
                </c:pt>
                <c:pt idx="86">
                  <c:v>0.85858666666666672</c:v>
                </c:pt>
                <c:pt idx="87">
                  <c:v>0.85864000000000007</c:v>
                </c:pt>
                <c:pt idx="88">
                  <c:v>0.85869333333333342</c:v>
                </c:pt>
                <c:pt idx="89">
                  <c:v>0.85874666666666677</c:v>
                </c:pt>
                <c:pt idx="90">
                  <c:v>0.85880000000000012</c:v>
                </c:pt>
                <c:pt idx="91">
                  <c:v>0.85885333333333347</c:v>
                </c:pt>
                <c:pt idx="92">
                  <c:v>0.85890666666666671</c:v>
                </c:pt>
                <c:pt idx="93">
                  <c:v>0.85896000000000006</c:v>
                </c:pt>
                <c:pt idx="94">
                  <c:v>0.85901333333333341</c:v>
                </c:pt>
                <c:pt idx="95">
                  <c:v>0.85906666666666676</c:v>
                </c:pt>
                <c:pt idx="96">
                  <c:v>0.85912000000000011</c:v>
                </c:pt>
                <c:pt idx="97">
                  <c:v>0.85917333333333346</c:v>
                </c:pt>
                <c:pt idx="98">
                  <c:v>0.85922666666666681</c:v>
                </c:pt>
                <c:pt idx="99">
                  <c:v>0.85928000000000004</c:v>
                </c:pt>
                <c:pt idx="100">
                  <c:v>0.85933333333333339</c:v>
                </c:pt>
                <c:pt idx="101">
                  <c:v>0.85938666666666674</c:v>
                </c:pt>
                <c:pt idx="102">
                  <c:v>0.85944000000000009</c:v>
                </c:pt>
                <c:pt idx="103">
                  <c:v>0.85949333333333344</c:v>
                </c:pt>
                <c:pt idx="104">
                  <c:v>0.85954666666666679</c:v>
                </c:pt>
                <c:pt idx="105">
                  <c:v>0.85960000000000014</c:v>
                </c:pt>
                <c:pt idx="106">
                  <c:v>0.85965333333333338</c:v>
                </c:pt>
                <c:pt idx="107">
                  <c:v>0.85970666666666673</c:v>
                </c:pt>
                <c:pt idx="108">
                  <c:v>0.85976000000000008</c:v>
                </c:pt>
                <c:pt idx="109">
                  <c:v>0.85981333333333343</c:v>
                </c:pt>
                <c:pt idx="110">
                  <c:v>0.85986666666666678</c:v>
                </c:pt>
                <c:pt idx="111">
                  <c:v>0.85992000000000013</c:v>
                </c:pt>
                <c:pt idx="112">
                  <c:v>0.85997333333333348</c:v>
                </c:pt>
                <c:pt idx="113">
                  <c:v>0.86002666666666672</c:v>
                </c:pt>
                <c:pt idx="114">
                  <c:v>0.86008000000000007</c:v>
                </c:pt>
                <c:pt idx="115">
                  <c:v>0.86013333333333342</c:v>
                </c:pt>
                <c:pt idx="116">
                  <c:v>0.86018666666666677</c:v>
                </c:pt>
                <c:pt idx="117">
                  <c:v>0.86024000000000012</c:v>
                </c:pt>
                <c:pt idx="118">
                  <c:v>0.86029333333333347</c:v>
                </c:pt>
                <c:pt idx="119">
                  <c:v>0.86034666666666682</c:v>
                </c:pt>
                <c:pt idx="120">
                  <c:v>0.86040000000000005</c:v>
                </c:pt>
                <c:pt idx="121">
                  <c:v>0.8604533333333334</c:v>
                </c:pt>
                <c:pt idx="122">
                  <c:v>0.86050666666666675</c:v>
                </c:pt>
                <c:pt idx="123">
                  <c:v>0.8605600000000001</c:v>
                </c:pt>
                <c:pt idx="124">
                  <c:v>0.86061333333333345</c:v>
                </c:pt>
                <c:pt idx="125">
                  <c:v>0.8606666666666668</c:v>
                </c:pt>
                <c:pt idx="126">
                  <c:v>0.86072000000000004</c:v>
                </c:pt>
                <c:pt idx="127">
                  <c:v>0.86077333333333339</c:v>
                </c:pt>
                <c:pt idx="128">
                  <c:v>0.86082666666666674</c:v>
                </c:pt>
                <c:pt idx="129">
                  <c:v>0.86088000000000009</c:v>
                </c:pt>
                <c:pt idx="130">
                  <c:v>0.86093333333333344</c:v>
                </c:pt>
                <c:pt idx="131">
                  <c:v>0.86098666666666679</c:v>
                </c:pt>
                <c:pt idx="132">
                  <c:v>0.86104000000000014</c:v>
                </c:pt>
                <c:pt idx="133">
                  <c:v>0.86109333333333338</c:v>
                </c:pt>
                <c:pt idx="134">
                  <c:v>0.86114666666666673</c:v>
                </c:pt>
                <c:pt idx="135">
                  <c:v>0.86120000000000008</c:v>
                </c:pt>
                <c:pt idx="136">
                  <c:v>0.86125333333333343</c:v>
                </c:pt>
                <c:pt idx="137">
                  <c:v>0.86130666666666678</c:v>
                </c:pt>
                <c:pt idx="138">
                  <c:v>0.86136000000000013</c:v>
                </c:pt>
                <c:pt idx="139">
                  <c:v>0.86141333333333348</c:v>
                </c:pt>
                <c:pt idx="140">
                  <c:v>0.86146666666666671</c:v>
                </c:pt>
                <c:pt idx="141">
                  <c:v>0.86152000000000006</c:v>
                </c:pt>
                <c:pt idx="142">
                  <c:v>0.86157333333333341</c:v>
                </c:pt>
                <c:pt idx="143">
                  <c:v>0.86162666666666676</c:v>
                </c:pt>
                <c:pt idx="144">
                  <c:v>0.86168000000000011</c:v>
                </c:pt>
                <c:pt idx="145">
                  <c:v>0.86173333333333346</c:v>
                </c:pt>
                <c:pt idx="146">
                  <c:v>0.86178666666666681</c:v>
                </c:pt>
                <c:pt idx="147">
                  <c:v>0.86184000000000005</c:v>
                </c:pt>
                <c:pt idx="148">
                  <c:v>0.8618933333333334</c:v>
                </c:pt>
                <c:pt idx="149">
                  <c:v>0.86194666666666675</c:v>
                </c:pt>
                <c:pt idx="150">
                  <c:v>0.8620000000000001</c:v>
                </c:pt>
              </c:numCache>
            </c:numRef>
          </c:yVal>
          <c:smooth val="1"/>
          <c:extLst>
            <c:ext xmlns:c16="http://schemas.microsoft.com/office/drawing/2014/chart" uri="{C3380CC4-5D6E-409C-BE32-E72D297353CC}">
              <c16:uniqueId val="{00000002-8AEF-4CD2-9E91-5056CF00EB36}"/>
            </c:ext>
          </c:extLst>
        </c:ser>
        <c:ser>
          <c:idx val="3"/>
          <c:order val="3"/>
          <c:tx>
            <c:v>RCS</c:v>
          </c:tx>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Eff_vs_IOUT!$AO$7:$AO$157</c:f>
              <c:numCache>
                <c:formatCode>General</c:formatCode>
                <c:ptCount val="151"/>
                <c:pt idx="0">
                  <c:v>0</c:v>
                </c:pt>
                <c:pt idx="1">
                  <c:v>1.0224465647542561E-5</c:v>
                </c:pt>
                <c:pt idx="2">
                  <c:v>2.8919155973544998E-5</c:v>
                </c:pt>
                <c:pt idx="3">
                  <c:v>5.3127881945359003E-5</c:v>
                </c:pt>
                <c:pt idx="4">
                  <c:v>8.1795725180340472E-5</c:v>
                </c:pt>
                <c:pt idx="5">
                  <c:v>1.143130011075828E-4</c:v>
                </c:pt>
                <c:pt idx="6">
                  <c:v>1.502683423745668E-4</c:v>
                </c:pt>
                <c:pt idx="7">
                  <c:v>1.8935975374344402E-4</c:v>
                </c:pt>
                <c:pt idx="8">
                  <c:v>2.3135324778836001E-4</c:v>
                </c:pt>
                <c:pt idx="9">
                  <c:v>2.7606057248364893E-4</c:v>
                </c:pt>
                <c:pt idx="10">
                  <c:v>3.233259930438286E-4</c:v>
                </c:pt>
                <c:pt idx="11">
                  <c:v>3.7301787858254483E-4</c:v>
                </c:pt>
                <c:pt idx="12">
                  <c:v>4.2502305556287208E-4</c:v>
                </c:pt>
                <c:pt idx="13">
                  <c:v>4.7924285703365255E-4</c:v>
                </c:pt>
                <c:pt idx="14">
                  <c:v>5.3559026382321638E-4</c:v>
                </c:pt>
                <c:pt idx="15">
                  <c:v>5.9398777765203221E-4</c:v>
                </c:pt>
                <c:pt idx="16">
                  <c:v>6.5436580144272389E-4</c:v>
                </c:pt>
                <c:pt idx="17">
                  <c:v>7.1666138111539299E-4</c:v>
                </c:pt>
                <c:pt idx="18">
                  <c:v>7.80817211285715E-4</c:v>
                </c:pt>
                <c:pt idx="19">
                  <c:v>8.4678083767748239E-4</c:v>
                </c:pt>
                <c:pt idx="20">
                  <c:v>9.1450400886066243E-4</c:v>
                </c:pt>
                <c:pt idx="21">
                  <c:v>9.8394214317712838E-4</c:v>
                </c:pt>
                <c:pt idx="22">
                  <c:v>1.0550538857981516E-3</c:v>
                </c:pt>
                <c:pt idx="23">
                  <c:v>1.1278007372147896E-3</c:v>
                </c:pt>
                <c:pt idx="24">
                  <c:v>1.2021467389965344E-3</c:v>
                </c:pt>
                <c:pt idx="25">
                  <c:v>1.2780582059428191E-3</c:v>
                </c:pt>
                <c:pt idx="26">
                  <c:v>1.3555034961748431E-3</c:v>
                </c:pt>
                <c:pt idx="27">
                  <c:v>1.4344528125246926E-3</c:v>
                </c:pt>
                <c:pt idx="28">
                  <c:v>1.5148780299475521E-3</c:v>
                </c:pt>
                <c:pt idx="29">
                  <c:v>1.5967525447301545E-3</c:v>
                </c:pt>
                <c:pt idx="30">
                  <c:v>1.6800511420787163E-3</c:v>
                </c:pt>
                <c:pt idx="31">
                  <c:v>1.7647498793023843E-3</c:v>
                </c:pt>
                <c:pt idx="32">
                  <c:v>1.8508259823068799E-3</c:v>
                </c:pt>
                <c:pt idx="33">
                  <c:v>1.938257753509579E-3</c:v>
                </c:pt>
                <c:pt idx="34">
                  <c:v>2.0270244896048446E-3</c:v>
                </c:pt>
                <c:pt idx="35">
                  <c:v>2.1171064078648058E-3</c:v>
                </c:pt>
                <c:pt idx="36">
                  <c:v>2.2084845798691919E-3</c:v>
                </c:pt>
                <c:pt idx="37">
                  <c:v>2.3011408717281481E-3</c:v>
                </c:pt>
                <c:pt idx="38">
                  <c:v>2.3950578900022914E-3</c:v>
                </c:pt>
                <c:pt idx="39">
                  <c:v>2.4902189326402617E-3</c:v>
                </c:pt>
                <c:pt idx="40">
                  <c:v>2.5866079443506275E-3</c:v>
                </c:pt>
                <c:pt idx="41">
                  <c:v>2.6842094759057505E-3</c:v>
                </c:pt>
                <c:pt idx="42">
                  <c:v>2.7830086469430885E-3</c:v>
                </c:pt>
                <c:pt idx="43">
                  <c:v>2.8829911118867118E-3</c:v>
                </c:pt>
                <c:pt idx="44">
                  <c:v>2.9841430286603604E-3</c:v>
                </c:pt>
                <c:pt idx="45">
                  <c:v>3.0864510299047345E-3</c:v>
                </c:pt>
                <c:pt idx="46">
                  <c:v>3.189902196447061E-3</c:v>
                </c:pt>
                <c:pt idx="47">
                  <c:v>3.2944840328012251E-3</c:v>
                </c:pt>
                <c:pt idx="48">
                  <c:v>3.4001844445029762E-3</c:v>
                </c:pt>
                <c:pt idx="49">
                  <c:v>3.5069917171070982E-3</c:v>
                </c:pt>
                <c:pt idx="50">
                  <c:v>3.6148944966931237E-3</c:v>
                </c:pt>
                <c:pt idx="51">
                  <c:v>3.7238817717430298E-3</c:v>
                </c:pt>
                <c:pt idx="52">
                  <c:v>3.8339428562692195E-3</c:v>
                </c:pt>
                <c:pt idx="53">
                  <c:v>3.9450673740840251E-3</c:v>
                </c:pt>
                <c:pt idx="54">
                  <c:v>4.0572452441133009E-3</c:v>
                </c:pt>
                <c:pt idx="55">
                  <c:v>4.1704666666666701E-3</c:v>
                </c:pt>
                <c:pt idx="56">
                  <c:v>4.2847221105857302E-3</c:v>
                </c:pt>
                <c:pt idx="57">
                  <c:v>4.4000023011993971E-3</c:v>
                </c:pt>
                <c:pt idx="58">
                  <c:v>4.5162982090222736E-3</c:v>
                </c:pt>
                <c:pt idx="59">
                  <c:v>4.6336010391381625E-3</c:v>
                </c:pt>
                <c:pt idx="60">
                  <c:v>4.7519022212162568E-3</c:v>
                </c:pt>
                <c:pt idx="61">
                  <c:v>4.871193400112315E-3</c:v>
                </c:pt>
                <c:pt idx="62">
                  <c:v>4.9914664270114314E-3</c:v>
                </c:pt>
                <c:pt idx="63">
                  <c:v>5.1127133510729915E-3</c:v>
                </c:pt>
                <c:pt idx="64">
                  <c:v>5.2349264115417902E-3</c:v>
                </c:pt>
                <c:pt idx="65">
                  <c:v>5.3580980302923003E-3</c:v>
                </c:pt>
                <c:pt idx="66">
                  <c:v>5.4822208047761089E-3</c:v>
                </c:pt>
                <c:pt idx="67">
                  <c:v>5.6072875013448154E-3</c:v>
                </c:pt>
                <c:pt idx="68">
                  <c:v>5.7332910489231439E-3</c:v>
                </c:pt>
                <c:pt idx="69">
                  <c:v>5.8602245330089554E-3</c:v>
                </c:pt>
                <c:pt idx="70">
                  <c:v>5.9880811899787906E-3</c:v>
                </c:pt>
                <c:pt idx="71">
                  <c:v>6.1168544016792026E-3</c:v>
                </c:pt>
                <c:pt idx="72">
                  <c:v>6.2465376902857209E-3</c:v>
                </c:pt>
                <c:pt idx="73">
                  <c:v>6.3771247134126047E-3</c:v>
                </c:pt>
                <c:pt idx="74">
                  <c:v>6.5086092594579875E-3</c:v>
                </c:pt>
                <c:pt idx="75">
                  <c:v>6.6409852431698752E-3</c:v>
                </c:pt>
                <c:pt idx="76">
                  <c:v>6.7742467014198574E-3</c:v>
                </c:pt>
                <c:pt idx="77">
                  <c:v>6.9083877891721003E-3</c:v>
                </c:pt>
                <c:pt idx="78">
                  <c:v>7.0434027756362226E-3</c:v>
                </c:pt>
                <c:pt idx="79">
                  <c:v>7.1792860405932996E-3</c:v>
                </c:pt>
                <c:pt idx="80">
                  <c:v>7.3160320708852995E-3</c:v>
                </c:pt>
                <c:pt idx="81">
                  <c:v>7.4536354570585231E-3</c:v>
                </c:pt>
                <c:pt idx="82">
                  <c:v>7.5920908901525759E-3</c:v>
                </c:pt>
                <c:pt idx="83">
                  <c:v>7.7313931586268638E-3</c:v>
                </c:pt>
                <c:pt idx="84">
                  <c:v>7.8715371454170235E-3</c:v>
                </c:pt>
                <c:pt idx="85">
                  <c:v>8.0125178251145134E-3</c:v>
                </c:pt>
                <c:pt idx="86">
                  <c:v>8.1543302612625563E-3</c:v>
                </c:pt>
                <c:pt idx="87">
                  <c:v>8.2969696037625724E-3</c:v>
                </c:pt>
                <c:pt idx="88">
                  <c:v>8.4404310863852149E-3</c:v>
                </c:pt>
                <c:pt idx="89">
                  <c:v>8.584710024380689E-3</c:v>
                </c:pt>
                <c:pt idx="90">
                  <c:v>8.7298018121833697E-3</c:v>
                </c:pt>
                <c:pt idx="91">
                  <c:v>8.8757019212058787E-3</c:v>
                </c:pt>
                <c:pt idx="92">
                  <c:v>9.0224058977183171E-3</c:v>
                </c:pt>
                <c:pt idx="93">
                  <c:v>9.1699093608083194E-3</c:v>
                </c:pt>
                <c:pt idx="94">
                  <c:v>9.3182080004182034E-3</c:v>
                </c:pt>
                <c:pt idx="95">
                  <c:v>9.4672975754553253E-3</c:v>
                </c:pt>
                <c:pt idx="96">
                  <c:v>9.6171739119722752E-3</c:v>
                </c:pt>
                <c:pt idx="97">
                  <c:v>9.7678329014135833E-3</c:v>
                </c:pt>
                <c:pt idx="98">
                  <c:v>9.9192704989259344E-3</c:v>
                </c:pt>
                <c:pt idx="99">
                  <c:v>1.0071482721728718E-2</c:v>
                </c:pt>
                <c:pt idx="100">
                  <c:v>1.0224465647542556E-2</c:v>
                </c:pt>
                <c:pt idx="101">
                  <c:v>1.0378215413072817E-2</c:v>
                </c:pt>
                <c:pt idx="102">
                  <c:v>1.0532728212545884E-2</c:v>
                </c:pt>
                <c:pt idx="103">
                  <c:v>1.0688000296295738E-2</c:v>
                </c:pt>
                <c:pt idx="104">
                  <c:v>1.0844027969398743E-2</c:v>
                </c:pt>
                <c:pt idx="105">
                  <c:v>1.1000807590354449E-2</c:v>
                </c:pt>
                <c:pt idx="106">
                  <c:v>1.1158335569810482E-2</c:v>
                </c:pt>
                <c:pt idx="107">
                  <c:v>1.1316608369329663E-2</c:v>
                </c:pt>
                <c:pt idx="108">
                  <c:v>1.1475622500197541E-2</c:v>
                </c:pt>
                <c:pt idx="109">
                  <c:v>1.163537452226863E-2</c:v>
                </c:pt>
                <c:pt idx="110">
                  <c:v>1.1795861042849834E-2</c:v>
                </c:pt>
                <c:pt idx="111">
                  <c:v>1.1957078715619464E-2</c:v>
                </c:pt>
                <c:pt idx="112">
                  <c:v>1.2119024239580417E-2</c:v>
                </c:pt>
                <c:pt idx="113">
                  <c:v>1.2281694358046142E-2</c:v>
                </c:pt>
                <c:pt idx="114">
                  <c:v>1.2445085857658036E-2</c:v>
                </c:pt>
                <c:pt idx="115">
                  <c:v>1.2609195567433227E-2</c:v>
                </c:pt>
                <c:pt idx="116">
                  <c:v>1.2774020357841235E-2</c:v>
                </c:pt>
                <c:pt idx="117">
                  <c:v>1.293955713990862E-2</c:v>
                </c:pt>
                <c:pt idx="118">
                  <c:v>1.3105802864350508E-2</c:v>
                </c:pt>
                <c:pt idx="119">
                  <c:v>1.3272754520727875E-2</c:v>
                </c:pt>
                <c:pt idx="120">
                  <c:v>1.3440409136629732E-2</c:v>
                </c:pt>
                <c:pt idx="121">
                  <c:v>1.3608763776879144E-2</c:v>
                </c:pt>
                <c:pt idx="122">
                  <c:v>1.3777815542762297E-2</c:v>
                </c:pt>
                <c:pt idx="123">
                  <c:v>1.3947561571279753E-2</c:v>
                </c:pt>
                <c:pt idx="124">
                  <c:v>1.411799903441908E-2</c:v>
                </c:pt>
                <c:pt idx="125">
                  <c:v>1.428912513844785E-2</c:v>
                </c:pt>
                <c:pt idx="126">
                  <c:v>1.446093712322684E-2</c:v>
                </c:pt>
                <c:pt idx="127">
                  <c:v>1.4633432261541996E-2</c:v>
                </c:pt>
                <c:pt idx="128">
                  <c:v>1.4806607858455041E-2</c:v>
                </c:pt>
                <c:pt idx="129">
                  <c:v>1.4980461250671819E-2</c:v>
                </c:pt>
                <c:pt idx="130">
                  <c:v>1.5154989805927874E-2</c:v>
                </c:pt>
                <c:pt idx="131">
                  <c:v>1.5330190922390439E-2</c:v>
                </c:pt>
                <c:pt idx="132">
                  <c:v>1.5506062028076632E-2</c:v>
                </c:pt>
                <c:pt idx="133">
                  <c:v>1.5682600580286997E-2</c:v>
                </c:pt>
                <c:pt idx="134">
                  <c:v>1.5859804065053964E-2</c:v>
                </c:pt>
                <c:pt idx="135">
                  <c:v>1.6037669996604869E-2</c:v>
                </c:pt>
                <c:pt idx="136">
                  <c:v>1.6216195916838757E-2</c:v>
                </c:pt>
                <c:pt idx="137">
                  <c:v>1.6395379394816771E-2</c:v>
                </c:pt>
                <c:pt idx="138">
                  <c:v>1.6575218026265603E-2</c:v>
                </c:pt>
                <c:pt idx="139">
                  <c:v>1.6755709433093485E-2</c:v>
                </c:pt>
                <c:pt idx="140">
                  <c:v>1.693685126291845E-2</c:v>
                </c:pt>
                <c:pt idx="141">
                  <c:v>1.71186411886084E-2</c:v>
                </c:pt>
                <c:pt idx="142">
                  <c:v>1.7301076907832579E-2</c:v>
                </c:pt>
                <c:pt idx="143">
                  <c:v>1.7484156142624174E-2</c:v>
                </c:pt>
                <c:pt idx="144">
                  <c:v>1.7667876638953531E-2</c:v>
                </c:pt>
                <c:pt idx="145">
                  <c:v>1.7852236166311992E-2</c:v>
                </c:pt>
                <c:pt idx="146">
                  <c:v>1.803723251730549E-2</c:v>
                </c:pt>
                <c:pt idx="147">
                  <c:v>1.8222863507258141E-2</c:v>
                </c:pt>
                <c:pt idx="148">
                  <c:v>1.8409126973825185E-2</c:v>
                </c:pt>
                <c:pt idx="149">
                  <c:v>1.8596020776615155E-2</c:v>
                </c:pt>
                <c:pt idx="150">
                  <c:v>1.8783542796820842E-2</c:v>
                </c:pt>
              </c:numCache>
            </c:numRef>
          </c:yVal>
          <c:smooth val="1"/>
          <c:extLst>
            <c:ext xmlns:c16="http://schemas.microsoft.com/office/drawing/2014/chart" uri="{C3380CC4-5D6E-409C-BE32-E72D297353CC}">
              <c16:uniqueId val="{00000003-8AEF-4CD2-9E91-5056CF00EB36}"/>
            </c:ext>
          </c:extLst>
        </c:ser>
        <c:dLbls>
          <c:showLegendKey val="0"/>
          <c:showVal val="0"/>
          <c:showCatName val="0"/>
          <c:showSerName val="0"/>
          <c:showPercent val="0"/>
          <c:showBubbleSize val="0"/>
        </c:dLbls>
        <c:axId val="145058432"/>
        <c:axId val="145056896"/>
      </c:scatterChart>
      <c:valAx>
        <c:axId val="145036800"/>
        <c:scaling>
          <c:orientation val="minMax"/>
        </c:scaling>
        <c:delete val="0"/>
        <c:axPos val="b"/>
        <c:majorGridlines/>
        <c:numFmt formatCode="General" sourceLinked="1"/>
        <c:majorTickMark val="out"/>
        <c:minorTickMark val="none"/>
        <c:tickLblPos val="nextTo"/>
        <c:crossAx val="145038336"/>
        <c:crosses val="autoZero"/>
        <c:crossBetween val="midCat"/>
      </c:valAx>
      <c:valAx>
        <c:axId val="145038336"/>
        <c:scaling>
          <c:orientation val="minMax"/>
          <c:max val="100"/>
        </c:scaling>
        <c:delete val="0"/>
        <c:axPos val="l"/>
        <c:majorGridlines/>
        <c:title>
          <c:overlay val="0"/>
          <c:txPr>
            <a:bodyPr rot="-5400000" vert="horz"/>
            <a:lstStyle/>
            <a:p>
              <a:pPr>
                <a:defRPr/>
              </a:pPr>
              <a:endParaRPr lang="en-US"/>
            </a:p>
          </c:txPr>
        </c:title>
        <c:numFmt formatCode="General" sourceLinked="1"/>
        <c:majorTickMark val="out"/>
        <c:minorTickMark val="none"/>
        <c:tickLblPos val="nextTo"/>
        <c:crossAx val="145036800"/>
        <c:crosses val="autoZero"/>
        <c:crossBetween val="midCat"/>
      </c:valAx>
      <c:valAx>
        <c:axId val="145056896"/>
        <c:scaling>
          <c:orientation val="minMax"/>
        </c:scaling>
        <c:delete val="0"/>
        <c:axPos val="r"/>
        <c:numFmt formatCode="General" sourceLinked="1"/>
        <c:majorTickMark val="out"/>
        <c:minorTickMark val="none"/>
        <c:tickLblPos val="nextTo"/>
        <c:crossAx val="145058432"/>
        <c:crosses val="max"/>
        <c:crossBetween val="midCat"/>
      </c:valAx>
      <c:valAx>
        <c:axId val="145058432"/>
        <c:scaling>
          <c:orientation val="minMax"/>
        </c:scaling>
        <c:delete val="1"/>
        <c:axPos val="b"/>
        <c:numFmt formatCode="General" sourceLinked="1"/>
        <c:majorTickMark val="out"/>
        <c:minorTickMark val="none"/>
        <c:tickLblPos val="nextTo"/>
        <c:crossAx val="145056896"/>
        <c:crosses val="autoZero"/>
        <c:crossBetween val="midCat"/>
      </c:valAx>
    </c:plotArea>
    <c:legend>
      <c:legendPos val="r"/>
      <c:overlay val="1"/>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Plant Transfer</a:t>
            </a:r>
            <a:r>
              <a:rPr lang="en-US" baseline="0"/>
              <a:t> Function</a:t>
            </a:r>
            <a:endParaRPr lang="en-US"/>
          </a:p>
        </c:rich>
      </c:tx>
      <c:overlay val="0"/>
    </c:title>
    <c:autoTitleDeleted val="0"/>
    <c:plotArea>
      <c:layout/>
      <c:scatterChart>
        <c:scatterStyle val="smoothMarker"/>
        <c:varyColors val="0"/>
        <c:ser>
          <c:idx val="0"/>
          <c:order val="0"/>
          <c:tx>
            <c:v>Gain(dB)</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Loop_Modeling!$AD$19:$AD$560</c:f>
              <c:numCache>
                <c:formatCode>0.000</c:formatCode>
                <c:ptCount val="542"/>
                <c:pt idx="0">
                  <c:v>21.407592584264762</c:v>
                </c:pt>
                <c:pt idx="1">
                  <c:v>21.20763802050422</c:v>
                </c:pt>
                <c:pt idx="2">
                  <c:v>21.007681412150102</c:v>
                </c:pt>
                <c:pt idx="3">
                  <c:v>20.807722851182202</c:v>
                </c:pt>
                <c:pt idx="4">
                  <c:v>20.607762425443358</c:v>
                </c:pt>
                <c:pt idx="5">
                  <c:v>20.407800218826161</c:v>
                </c:pt>
                <c:pt idx="6">
                  <c:v>20.207836311449931</c:v>
                </c:pt>
                <c:pt idx="7">
                  <c:v>20.007870779830498</c:v>
                </c:pt>
                <c:pt idx="8">
                  <c:v>19.807903697041979</c:v>
                </c:pt>
                <c:pt idx="9">
                  <c:v>19.607935132871823</c:v>
                </c:pt>
                <c:pt idx="10">
                  <c:v>19.407965153968085</c:v>
                </c:pt>
                <c:pt idx="11">
                  <c:v>19.207993823980882</c:v>
                </c:pt>
                <c:pt idx="12">
                  <c:v>19.008021203696956</c:v>
                </c:pt>
                <c:pt idx="13">
                  <c:v>18.808047351168486</c:v>
                </c:pt>
                <c:pt idx="14">
                  <c:v>18.608072321836012</c:v>
                </c:pt>
                <c:pt idx="15">
                  <c:v>18.408096168645798</c:v>
                </c:pt>
                <c:pt idx="16">
                  <c:v>18.208118942161992</c:v>
                </c:pt>
                <c:pt idx="17">
                  <c:v>18.00814069067378</c:v>
                </c:pt>
                <c:pt idx="18">
                  <c:v>17.808161460297619</c:v>
                </c:pt>
                <c:pt idx="19">
                  <c:v>17.608181295074925</c:v>
                </c:pt>
                <c:pt idx="20">
                  <c:v>17.40820023706538</c:v>
                </c:pt>
                <c:pt idx="21">
                  <c:v>17.208218326436004</c:v>
                </c:pt>
                <c:pt idx="22">
                  <c:v>17.008235601546417</c:v>
                </c:pt>
                <c:pt idx="23">
                  <c:v>16.808252099029936</c:v>
                </c:pt>
                <c:pt idx="24">
                  <c:v>16.608267853871382</c:v>
                </c:pt>
                <c:pt idx="25">
                  <c:v>16.408282899480746</c:v>
                </c:pt>
                <c:pt idx="26">
                  <c:v>16.208297267764603</c:v>
                </c:pt>
                <c:pt idx="27">
                  <c:v>16.008310989193696</c:v>
                </c:pt>
                <c:pt idx="28">
                  <c:v>15.808324092866677</c:v>
                </c:pt>
                <c:pt idx="29">
                  <c:v>15.608336606572962</c:v>
                </c:pt>
                <c:pt idx="30">
                  <c:v>15.408348556850699</c:v>
                </c:pt>
                <c:pt idx="31">
                  <c:v>15.208359969043499</c:v>
                </c:pt>
                <c:pt idx="32">
                  <c:v>15.008370867354145</c:v>
                </c:pt>
                <c:pt idx="33">
                  <c:v>14.808381274895366</c:v>
                </c:pt>
                <c:pt idx="34">
                  <c:v>14.60839121373964</c:v>
                </c:pt>
                <c:pt idx="35">
                  <c:v>14.408400704965487</c:v>
                </c:pt>
                <c:pt idx="36">
                  <c:v>14.208409768702133</c:v>
                </c:pt>
                <c:pt idx="37">
                  <c:v>14.008418424172431</c:v>
                </c:pt>
                <c:pt idx="38">
                  <c:v>13.80842668973326</c:v>
                </c:pt>
                <c:pt idx="39">
                  <c:v>13.608434582914944</c:v>
                </c:pt>
                <c:pt idx="40">
                  <c:v>13.408442120457963</c:v>
                </c:pt>
                <c:pt idx="41">
                  <c:v>13.208449318348595</c:v>
                </c:pt>
                <c:pt idx="42">
                  <c:v>13.008456191852906</c:v>
                </c:pt>
                <c:pt idx="43">
                  <c:v>12.808462755549005</c:v>
                </c:pt>
                <c:pt idx="44">
                  <c:v>12.60846902335803</c:v>
                </c:pt>
                <c:pt idx="45">
                  <c:v>12.408475008573575</c:v>
                </c:pt>
                <c:pt idx="46">
                  <c:v>12.208480723889927</c:v>
                </c:pt>
                <c:pt idx="47">
                  <c:v>12.008486181429074</c:v>
                </c:pt>
                <c:pt idx="48">
                  <c:v>11.808491392766049</c:v>
                </c:pt>
                <c:pt idx="49">
                  <c:v>11.608496368954178</c:v>
                </c:pt>
                <c:pt idx="50">
                  <c:v>11.408501120547616</c:v>
                </c:pt>
                <c:pt idx="51">
                  <c:v>11.208505657624475</c:v>
                </c:pt>
                <c:pt idx="52">
                  <c:v>11.008509989807958</c:v>
                </c:pt>
                <c:pt idx="53">
                  <c:v>10.808514126286472</c:v>
                </c:pt>
                <c:pt idx="54">
                  <c:v>10.608518075833524</c:v>
                </c:pt>
                <c:pt idx="55">
                  <c:v>10.408521846826094</c:v>
                </c:pt>
                <c:pt idx="56">
                  <c:v>10.208525447262636</c:v>
                </c:pt>
                <c:pt idx="57">
                  <c:v>10.008528884779651</c:v>
                </c:pt>
                <c:pt idx="58">
                  <c:v>9.808532166668245</c:v>
                </c:pt>
                <c:pt idx="59">
                  <c:v>9.6085352998893061</c:v>
                </c:pt>
                <c:pt idx="60">
                  <c:v>9.4085382910885791</c:v>
                </c:pt>
                <c:pt idx="61">
                  <c:v>9.2085411466104716</c:v>
                </c:pt>
                <c:pt idx="62">
                  <c:v>9.0085438725116713</c:v>
                </c:pt>
                <c:pt idx="63">
                  <c:v>8.8085464745739959</c:v>
                </c:pt>
                <c:pt idx="64">
                  <c:v>8.6085489583165149</c:v>
                </c:pt>
                <c:pt idx="65">
                  <c:v>8.4085513290073166</c:v>
                </c:pt>
                <c:pt idx="66">
                  <c:v>8.208553591674848</c:v>
                </c:pt>
                <c:pt idx="67">
                  <c:v>8.0085557511183065</c:v>
                </c:pt>
                <c:pt idx="68">
                  <c:v>7.8085578119181056</c:v>
                </c:pt>
                <c:pt idx="69">
                  <c:v>7.6085597784452297</c:v>
                </c:pt>
                <c:pt idx="70">
                  <c:v>7.4085616548708391</c:v>
                </c:pt>
                <c:pt idx="71">
                  <c:v>7.2085634451750371</c:v>
                </c:pt>
                <c:pt idx="72">
                  <c:v>7.0085651531551285</c:v>
                </c:pt>
                <c:pt idx="73">
                  <c:v>6.8085667824338287</c:v>
                </c:pt>
                <c:pt idx="74">
                  <c:v>6.6085683364670809</c:v>
                </c:pt>
                <c:pt idx="75">
                  <c:v>6.4085698185510962</c:v>
                </c:pt>
                <c:pt idx="76">
                  <c:v>6.2085712318293771</c:v>
                </c:pt>
                <c:pt idx="77">
                  <c:v>6.0085725792997557</c:v>
                </c:pt>
                <c:pt idx="78">
                  <c:v>5.8085738638201887</c:v>
                </c:pt>
                <c:pt idx="79">
                  <c:v>5.6085750881153809</c:v>
                </c:pt>
                <c:pt idx="80">
                  <c:v>5.4085762547821226</c:v>
                </c:pt>
                <c:pt idx="81">
                  <c:v>5.2085773662950157</c:v>
                </c:pt>
                <c:pt idx="82">
                  <c:v>5.0085784250116925</c:v>
                </c:pt>
                <c:pt idx="83">
                  <c:v>4.8085794331777185</c:v>
                </c:pt>
                <c:pt idx="84">
                  <c:v>4.6085803929315832</c:v>
                </c:pt>
                <c:pt idx="85">
                  <c:v>4.408581306309066</c:v>
                </c:pt>
                <c:pt idx="86">
                  <c:v>4.2085821752473311</c:v>
                </c:pt>
                <c:pt idx="87">
                  <c:v>4.0085830015896295</c:v>
                </c:pt>
                <c:pt idx="88">
                  <c:v>3.8085837870886685</c:v>
                </c:pt>
                <c:pt idx="89">
                  <c:v>3.6085845334105731</c:v>
                </c:pt>
                <c:pt idx="90">
                  <c:v>3.4085852421383587</c:v>
                </c:pt>
                <c:pt idx="91">
                  <c:v>3.2085859147752744</c:v>
                </c:pt>
                <c:pt idx="92">
                  <c:v>3.0085865527480293</c:v>
                </c:pt>
                <c:pt idx="93">
                  <c:v>2.8085871574098857</c:v>
                </c:pt>
                <c:pt idx="94">
                  <c:v>2.6085877300432978</c:v>
                </c:pt>
                <c:pt idx="95">
                  <c:v>2.4085882718628886</c:v>
                </c:pt>
                <c:pt idx="96">
                  <c:v>2.2085887840178704</c:v>
                </c:pt>
                <c:pt idx="97">
                  <c:v>2.0085892675945329</c:v>
                </c:pt>
                <c:pt idx="98">
                  <c:v>1.8085897236186805</c:v>
                </c:pt>
                <c:pt idx="99">
                  <c:v>1.6085901530574445</c:v>
                </c:pt>
                <c:pt idx="100">
                  <c:v>1.4085905568217629</c:v>
                </c:pt>
                <c:pt idx="101">
                  <c:v>1.2085909357679596</c:v>
                </c:pt>
                <c:pt idx="102">
                  <c:v>1.0085912906997425</c:v>
                </c:pt>
                <c:pt idx="103">
                  <c:v>0.80859162236999504</c:v>
                </c:pt>
                <c:pt idx="104">
                  <c:v>0.60859193148206814</c:v>
                </c:pt>
                <c:pt idx="105">
                  <c:v>0.4085922186917561</c:v>
                </c:pt>
                <c:pt idx="106">
                  <c:v>0.20859248460801841</c:v>
                </c:pt>
                <c:pt idx="107">
                  <c:v>8.5927297948538012E-3</c:v>
                </c:pt>
                <c:pt idx="108">
                  <c:v>-0.19140704522766744</c:v>
                </c:pt>
                <c:pt idx="109">
                  <c:v>-0.39140683998248416</c:v>
                </c:pt>
                <c:pt idx="110">
                  <c:v>-0.59140665403437598</c:v>
                </c:pt>
                <c:pt idx="111">
                  <c:v>-0.7914064869889943</c:v>
                </c:pt>
                <c:pt idx="112">
                  <c:v>-0.99140633849211668</c:v>
                </c:pt>
                <c:pt idx="113">
                  <c:v>-1.1914062082289265</c:v>
                </c:pt>
                <c:pt idx="114">
                  <c:v>-1.3914060959232502</c:v>
                </c:pt>
                <c:pt idx="115">
                  <c:v>-1.5914060013370188</c:v>
                </c:pt>
                <c:pt idx="116">
                  <c:v>-1.7914059242697533</c:v>
                </c:pt>
                <c:pt idx="117">
                  <c:v>-1.99140586455823</c:v>
                </c:pt>
                <c:pt idx="118">
                  <c:v>-2.1914058220759323</c:v>
                </c:pt>
                <c:pt idx="119">
                  <c:v>-2.3914057967329905</c:v>
                </c:pt>
                <c:pt idx="120">
                  <c:v>-2.5914057884759414</c:v>
                </c:pt>
                <c:pt idx="121">
                  <c:v>-2.7914057972875268</c:v>
                </c:pt>
                <c:pt idx="122">
                  <c:v>-2.9914058231865996</c:v>
                </c:pt>
                <c:pt idx="123">
                  <c:v>-3.1914058662286973</c:v>
                </c:pt>
                <c:pt idx="124">
                  <c:v>-3.3914059265051582</c:v>
                </c:pt>
                <c:pt idx="125">
                  <c:v>-3.5914060041443605</c:v>
                </c:pt>
                <c:pt idx="126">
                  <c:v>-3.791406099311454</c:v>
                </c:pt>
                <c:pt idx="127">
                  <c:v>-3.991406212208735</c:v>
                </c:pt>
                <c:pt idx="128">
                  <c:v>-4.1914063430761264</c:v>
                </c:pt>
                <c:pt idx="129">
                  <c:v>-4.3914064921918836</c:v>
                </c:pt>
                <c:pt idx="130">
                  <c:v>-4.5914066598727921</c:v>
                </c:pt>
                <c:pt idx="131">
                  <c:v>-4.7914068464753425</c:v>
                </c:pt>
                <c:pt idx="132">
                  <c:v>-4.9914070523958571</c:v>
                </c:pt>
                <c:pt idx="133">
                  <c:v>-5.1914072780721279</c:v>
                </c:pt>
                <c:pt idx="134">
                  <c:v>-5.3914075239837338</c:v>
                </c:pt>
                <c:pt idx="135">
                  <c:v>-5.5914077906531192</c:v>
                </c:pt>
                <c:pt idx="136">
                  <c:v>-5.7914080786469864</c:v>
                </c:pt>
                <c:pt idx="137">
                  <c:v>-5.9914083885775726</c:v>
                </c:pt>
                <c:pt idx="138">
                  <c:v>-6.1914087211033406</c:v>
                </c:pt>
                <c:pt idx="139">
                  <c:v>-6.3914090769312271</c:v>
                </c:pt>
                <c:pt idx="140">
                  <c:v>-6.5914094568172787</c:v>
                </c:pt>
                <c:pt idx="141">
                  <c:v>-6.7914098615691554</c:v>
                </c:pt>
                <c:pt idx="142">
                  <c:v>-6.9914102920472558</c:v>
                </c:pt>
                <c:pt idx="143">
                  <c:v>-7.1914107491665895</c:v>
                </c:pt>
                <c:pt idx="144">
                  <c:v>-7.3914112338990421</c:v>
                </c:pt>
                <c:pt idx="145">
                  <c:v>-7.5914117472752647</c:v>
                </c:pt>
                <c:pt idx="146">
                  <c:v>-7.7914122903867771</c:v>
                </c:pt>
                <c:pt idx="147">
                  <c:v>-7.9914128643885718</c:v>
                </c:pt>
                <c:pt idx="148">
                  <c:v>-8.1914134705014288</c:v>
                </c:pt>
                <c:pt idx="149">
                  <c:v>-8.3914141100144093</c:v>
                </c:pt>
                <c:pt idx="150">
                  <c:v>-8.5914147842880517</c:v>
                </c:pt>
                <c:pt idx="151">
                  <c:v>-8.791415494756663</c:v>
                </c:pt>
                <c:pt idx="152">
                  <c:v>-8.991416242931864</c:v>
                </c:pt>
                <c:pt idx="153">
                  <c:v>-9.1914170304058036</c:v>
                </c:pt>
                <c:pt idx="154">
                  <c:v>-9.3914178588544157</c:v>
                </c:pt>
                <c:pt idx="155">
                  <c:v>-9.5914187300410489</c:v>
                </c:pt>
                <c:pt idx="156">
                  <c:v>-9.7914196458202465</c:v>
                </c:pt>
                <c:pt idx="157">
                  <c:v>-9.9914206081418815</c:v>
                </c:pt>
                <c:pt idx="158">
                  <c:v>-10.191421619055248</c:v>
                </c:pt>
                <c:pt idx="159">
                  <c:v>-10.391422680713498</c:v>
                </c:pt>
                <c:pt idx="160">
                  <c:v>-10.591423795378168</c:v>
                </c:pt>
                <c:pt idx="161">
                  <c:v>-10.791424965424374</c:v>
                </c:pt>
                <c:pt idx="162">
                  <c:v>-10.991426193345431</c:v>
                </c:pt>
                <c:pt idx="163">
                  <c:v>-11.191427481758796</c:v>
                </c:pt>
                <c:pt idx="164">
                  <c:v>-11.391428833411419</c:v>
                </c:pt>
                <c:pt idx="165">
                  <c:v>-11.59143025118566</c:v>
                </c:pt>
                <c:pt idx="166">
                  <c:v>-11.791431738105597</c:v>
                </c:pt>
                <c:pt idx="167">
                  <c:v>-11.991433297343736</c:v>
                </c:pt>
                <c:pt idx="168">
                  <c:v>-12.191434932227645</c:v>
                </c:pt>
                <c:pt idx="169">
                  <c:v>-12.391436646247358</c:v>
                </c:pt>
                <c:pt idx="170">
                  <c:v>-12.591438443062913</c:v>
                </c:pt>
                <c:pt idx="171">
                  <c:v>-12.791440326512248</c:v>
                </c:pt>
                <c:pt idx="172">
                  <c:v>-12.991442300619749</c:v>
                </c:pt>
                <c:pt idx="173">
                  <c:v>-13.191444369604788</c:v>
                </c:pt>
                <c:pt idx="174">
                  <c:v>-13.391446537891209</c:v>
                </c:pt>
                <c:pt idx="175">
                  <c:v>-13.591448810116848</c:v>
                </c:pt>
                <c:pt idx="176">
                  <c:v>-13.791451191143686</c:v>
                </c:pt>
                <c:pt idx="177">
                  <c:v>-13.991453686068578</c:v>
                </c:pt>
                <c:pt idx="178">
                  <c:v>-14.19145630023457</c:v>
                </c:pt>
                <c:pt idx="179">
                  <c:v>-14.391459039242312</c:v>
                </c:pt>
                <c:pt idx="180">
                  <c:v>-14.591461908962868</c:v>
                </c:pt>
                <c:pt idx="181">
                  <c:v>-14.791464915550311</c:v>
                </c:pt>
                <c:pt idx="182">
                  <c:v>-14.991468065455585</c:v>
                </c:pt>
                <c:pt idx="183">
                  <c:v>-15.191471365440689</c:v>
                </c:pt>
                <c:pt idx="184">
                  <c:v>-15.391474822593786</c:v>
                </c:pt>
                <c:pt idx="185">
                  <c:v>-15.591478444344782</c:v>
                </c:pt>
                <c:pt idx="186">
                  <c:v>-15.79148223848232</c:v>
                </c:pt>
                <c:pt idx="187">
                  <c:v>-15.991486213170784</c:v>
                </c:pt>
                <c:pt idx="188">
                  <c:v>-16.191490376968709</c:v>
                </c:pt>
                <c:pt idx="189">
                  <c:v>-16.391494738848348</c:v>
                </c:pt>
                <c:pt idx="190">
                  <c:v>-16.591499308215386</c:v>
                </c:pt>
                <c:pt idx="191">
                  <c:v>-16.791504094930477</c:v>
                </c:pt>
                <c:pt idx="192">
                  <c:v>-16.991509109331702</c:v>
                </c:pt>
                <c:pt idx="193">
                  <c:v>-17.191514362257706</c:v>
                </c:pt>
                <c:pt idx="194">
                  <c:v>-17.391519865072741</c:v>
                </c:pt>
                <c:pt idx="195">
                  <c:v>-17.591525629692519</c:v>
                </c:pt>
                <c:pt idx="196">
                  <c:v>-17.791531668611601</c:v>
                </c:pt>
                <c:pt idx="197">
                  <c:v>-17.991537994931981</c:v>
                </c:pt>
                <c:pt idx="198">
                  <c:v>-18.1915446223936</c:v>
                </c:pt>
                <c:pt idx="199">
                  <c:v>-18.391551565406246</c:v>
                </c:pt>
                <c:pt idx="200">
                  <c:v>-18.591558839082758</c:v>
                </c:pt>
                <c:pt idx="201">
                  <c:v>-18.791566459274737</c:v>
                </c:pt>
                <c:pt idx="202">
                  <c:v>-18.991574442609444</c:v>
                </c:pt>
                <c:pt idx="203">
                  <c:v>-19.191582806529482</c:v>
                </c:pt>
                <c:pt idx="204">
                  <c:v>-19.391591569333425</c:v>
                </c:pt>
                <c:pt idx="205">
                  <c:v>-19.591600750219975</c:v>
                </c:pt>
                <c:pt idx="206">
                  <c:v>-19.791610369333608</c:v>
                </c:pt>
                <c:pt idx="207">
                  <c:v>-19.991620447812842</c:v>
                </c:pt>
                <c:pt idx="208">
                  <c:v>-20.191631007841767</c:v>
                </c:pt>
                <c:pt idx="209">
                  <c:v>-20.391642072703476</c:v>
                </c:pt>
                <c:pt idx="210">
                  <c:v>-20.591653666837185</c:v>
                </c:pt>
                <c:pt idx="211">
                  <c:v>-20.791665815898298</c:v>
                </c:pt>
                <c:pt idx="212">
                  <c:v>-20.99167854682171</c:v>
                </c:pt>
                <c:pt idx="213">
                  <c:v>-21.191691887889039</c:v>
                </c:pt>
                <c:pt idx="214">
                  <c:v>-21.391705868799185</c:v>
                </c:pt>
                <c:pt idx="215">
                  <c:v>-21.591720520743483</c:v>
                </c:pt>
                <c:pt idx="216">
                  <c:v>-21.791735876484672</c:v>
                </c:pt>
                <c:pt idx="217">
                  <c:v>-21.991751970440848</c:v>
                </c:pt>
                <c:pt idx="218">
                  <c:v>-22.191768838773982</c:v>
                </c:pt>
                <c:pt idx="219">
                  <c:v>-22.391786519483926</c:v>
                </c:pt>
                <c:pt idx="220">
                  <c:v>-22.591805052507791</c:v>
                </c:pt>
                <c:pt idx="221">
                  <c:v>-22.791824479825323</c:v>
                </c:pt>
                <c:pt idx="222">
                  <c:v>-22.99184484557053</c:v>
                </c:pt>
                <c:pt idx="223">
                  <c:v>-23.191866196150311</c:v>
                </c:pt>
                <c:pt idx="224">
                  <c:v>-23.39188858036961</c:v>
                </c:pt>
                <c:pt idx="225">
                  <c:v>-23.591912049565465</c:v>
                </c:pt>
                <c:pt idx="226">
                  <c:v>-23.791936657748227</c:v>
                </c:pt>
                <c:pt idx="227">
                  <c:v>-23.99196246175185</c:v>
                </c:pt>
                <c:pt idx="228">
                  <c:v>-24.191989521394092</c:v>
                </c:pt>
                <c:pt idx="229">
                  <c:v>-24.392017899646241</c:v>
                </c:pt>
                <c:pt idx="230">
                  <c:v>-24.592047662814341</c:v>
                </c:pt>
                <c:pt idx="231">
                  <c:v>-24.792078880731165</c:v>
                </c:pt>
                <c:pt idx="232">
                  <c:v>-24.992111626961375</c:v>
                </c:pt>
                <c:pt idx="233">
                  <c:v>-25.192145979020001</c:v>
                </c:pt>
                <c:pt idx="234">
                  <c:v>-25.392182018605066</c:v>
                </c:pt>
                <c:pt idx="235">
                  <c:v>-25.592219831845561</c:v>
                </c:pt>
                <c:pt idx="236">
                  <c:v>-25.792259509566495</c:v>
                </c:pt>
                <c:pt idx="237">
                  <c:v>-25.992301147571414</c:v>
                </c:pt>
                <c:pt idx="238">
                  <c:v>-26.192344846944444</c:v>
                </c:pt>
                <c:pt idx="239">
                  <c:v>-26.392390714372546</c:v>
                </c:pt>
                <c:pt idx="240">
                  <c:v>-26.59243886249072</c:v>
                </c:pt>
                <c:pt idx="241">
                  <c:v>-26.792489410250777</c:v>
                </c:pt>
                <c:pt idx="242">
                  <c:v>-26.992542483316466</c:v>
                </c:pt>
                <c:pt idx="243">
                  <c:v>-27.192598214485784</c:v>
                </c:pt>
                <c:pt idx="244">
                  <c:v>-27.392656744144425</c:v>
                </c:pt>
                <c:pt idx="245">
                  <c:v>-27.592718220751248</c:v>
                </c:pt>
                <c:pt idx="246">
                  <c:v>-27.792782801358786</c:v>
                </c:pt>
                <c:pt idx="247">
                  <c:v>-27.9928506521725</c:v>
                </c:pt>
                <c:pt idx="248">
                  <c:v>-28.192921949150602</c:v>
                </c:pt>
                <c:pt idx="249">
                  <c:v>-28.392996878648262</c:v>
                </c:pt>
                <c:pt idx="250">
                  <c:v>-28.593075638110747</c:v>
                </c:pt>
                <c:pt idx="251">
                  <c:v>-28.793158436817489</c:v>
                </c:pt>
                <c:pt idx="252">
                  <c:v>-28.993245496683965</c:v>
                </c:pt>
                <c:pt idx="253">
                  <c:v>-29.193337053123596</c:v>
                </c:pt>
                <c:pt idx="254">
                  <c:v>-29.393433355976526</c:v>
                </c:pt>
                <c:pt idx="255">
                  <c:v>-29.593534670510504</c:v>
                </c:pt>
                <c:pt idx="256">
                  <c:v>-29.79364127849864</c:v>
                </c:pt>
                <c:pt idx="257">
                  <c:v>-29.99375347938318</c:v>
                </c:pt>
                <c:pt idx="258">
                  <c:v>-30.193871591530073</c:v>
                </c:pt>
                <c:pt idx="259">
                  <c:v>-30.393995953583534</c:v>
                </c:pt>
                <c:pt idx="260">
                  <c:v>-30.594126925928929</c:v>
                </c:pt>
                <c:pt idx="261">
                  <c:v>-30.794264892273169</c:v>
                </c:pt>
                <c:pt idx="262">
                  <c:v>-30.994410261352773</c:v>
                </c:pt>
                <c:pt idx="263">
                  <c:v>-31.194563468781173</c:v>
                </c:pt>
                <c:pt idx="264">
                  <c:v>-31.394724979046845</c:v>
                </c:pt>
                <c:pt idx="265">
                  <c:v>-31.594895287675641</c:v>
                </c:pt>
                <c:pt idx="266">
                  <c:v>-31.795074923571889</c:v>
                </c:pt>
                <c:pt idx="267">
                  <c:v>-31.995264451554057</c:v>
                </c:pt>
                <c:pt idx="268">
                  <c:v>-32.195464475101858</c:v>
                </c:pt>
                <c:pt idx="269">
                  <c:v>-32.395675639333746</c:v>
                </c:pt>
                <c:pt idx="270">
                  <c:v>-32.595898634235297</c:v>
                </c:pt>
                <c:pt idx="271">
                  <c:v>-32.796134198160601</c:v>
                </c:pt>
                <c:pt idx="272">
                  <c:v>-32.996383121631268</c:v>
                </c:pt>
                <c:pt idx="273">
                  <c:v>-33.19664625145932</c:v>
                </c:pt>
                <c:pt idx="274">
                  <c:v>-33.396924495223359</c:v>
                </c:pt>
                <c:pt idx="275">
                  <c:v>-33.597218826129229</c:v>
                </c:pt>
                <c:pt idx="276">
                  <c:v>-33.797530288290446</c:v>
                </c:pt>
                <c:pt idx="277">
                  <c:v>-33.997860002464733</c:v>
                </c:pt>
                <c:pt idx="278">
                  <c:v>-34.198209172290007</c:v>
                </c:pt>
                <c:pt idx="279">
                  <c:v>-34.398579091062182</c:v>
                </c:pt>
                <c:pt idx="280">
                  <c:v>-34.598971149105743</c:v>
                </c:pt>
                <c:pt idx="281">
                  <c:v>-34.799386841789762</c:v>
                </c:pt>
                <c:pt idx="282">
                  <c:v>-34.999827778247734</c:v>
                </c:pt>
                <c:pt idx="283">
                  <c:v>-35.200295690864891</c:v>
                </c:pt>
                <c:pt idx="284">
                  <c:v>-35.400792445602129</c:v>
                </c:pt>
                <c:pt idx="285">
                  <c:v>-35.60132005323301</c:v>
                </c:pt>
                <c:pt idx="286">
                  <c:v>-35.801880681575291</c:v>
                </c:pt>
                <c:pt idx="287">
                  <c:v>-36.002476668807482</c:v>
                </c:pt>
                <c:pt idx="288">
                  <c:v>-36.203110537968278</c:v>
                </c:pt>
                <c:pt idx="289">
                  <c:v>-36.403785012745601</c:v>
                </c:pt>
                <c:pt idx="290">
                  <c:v>-36.604503034671396</c:v>
                </c:pt>
                <c:pt idx="291">
                  <c:v>-36.805267781848386</c:v>
                </c:pt>
                <c:pt idx="292">
                  <c:v>-37.006082689347323</c:v>
                </c:pt>
                <c:pt idx="293">
                  <c:v>-37.206951471423181</c:v>
                </c:pt>
                <c:pt idx="294">
                  <c:v>-37.407878145714562</c:v>
                </c:pt>
                <c:pt idx="295">
                  <c:v>-37.608867059601529</c:v>
                </c:pt>
                <c:pt idx="296">
                  <c:v>-37.809922918915468</c:v>
                </c:pt>
                <c:pt idx="297">
                  <c:v>-38.011050819208151</c:v>
                </c:pt>
                <c:pt idx="298">
                  <c:v>-38.21225627980683</c:v>
                </c:pt>
                <c:pt idx="299">
                  <c:v>-38.413545280900166</c:v>
                </c:pt>
                <c:pt idx="300">
                  <c:v>-38.614924303919075</c:v>
                </c:pt>
                <c:pt idx="301">
                  <c:v>-38.816400375500628</c:v>
                </c:pt>
                <c:pt idx="302">
                  <c:v>-39.017981115343908</c:v>
                </c:pt>
                <c:pt idx="303">
                  <c:v>-39.219674788291613</c:v>
                </c:pt>
                <c:pt idx="304">
                  <c:v>-39.421490360998312</c:v>
                </c:pt>
                <c:pt idx="305">
                  <c:v>-39.623437563571329</c:v>
                </c:pt>
                <c:pt idx="306">
                  <c:v>-39.82552695660204</c:v>
                </c:pt>
                <c:pt idx="307">
                  <c:v>-40.027770004031389</c:v>
                </c:pt>
                <c:pt idx="308">
                  <c:v>-40.230179152327963</c:v>
                </c:pt>
                <c:pt idx="309">
                  <c:v>-40.432767916486902</c:v>
                </c:pt>
                <c:pt idx="310">
                  <c:v>-40.635550973391489</c:v>
                </c:pt>
                <c:pt idx="311">
                  <c:v>-40.838544263111558</c:v>
                </c:pt>
                <c:pt idx="312">
                  <c:v>-41.041765098746829</c:v>
                </c:pt>
                <c:pt idx="313">
                  <c:v>-41.245232285454236</c:v>
                </c:pt>
                <c:pt idx="314">
                  <c:v>-41.448966249329835</c:v>
                </c:pt>
                <c:pt idx="315">
                  <c:v>-41.65298917684423</c:v>
                </c:pt>
                <c:pt idx="316">
                  <c:v>-41.857325165555459</c:v>
                </c:pt>
                <c:pt idx="317">
                  <c:v>-42.062000386843678</c:v>
                </c:pt>
                <c:pt idx="318">
                  <c:v>-42.26704326142616</c:v>
                </c:pt>
                <c:pt idx="319">
                  <c:v>-42.472484648416746</c:v>
                </c:pt>
                <c:pt idx="320">
                  <c:v>-42.6783580486901</c:v>
                </c:pt>
                <c:pt idx="321">
                  <c:v>-42.884699823291868</c:v>
                </c:pt>
                <c:pt idx="322">
                  <c:v>-43.091549427603411</c:v>
                </c:pt>
                <c:pt idx="323">
                  <c:v>-43.298949661915245</c:v>
                </c:pt>
                <c:pt idx="324">
                  <c:v>-43.506946938984925</c:v>
                </c:pt>
                <c:pt idx="325">
                  <c:v>-43.715591569048669</c:v>
                </c:pt>
                <c:pt idx="326">
                  <c:v>-43.92493806261308</c:v>
                </c:pt>
                <c:pt idx="327">
                  <c:v>-44.135045451174761</c:v>
                </c:pt>
                <c:pt idx="328">
                  <c:v>-44.345977625782155</c:v>
                </c:pt>
                <c:pt idx="329">
                  <c:v>-44.557803693072245</c:v>
                </c:pt>
                <c:pt idx="330">
                  <c:v>-44.770598348066819</c:v>
                </c:pt>
                <c:pt idx="331">
                  <c:v>-44.984442262593738</c:v>
                </c:pt>
                <c:pt idx="332">
                  <c:v>-45.19942248770036</c:v>
                </c:pt>
                <c:pt idx="333">
                  <c:v>-45.415632867837481</c:v>
                </c:pt>
                <c:pt idx="334">
                  <c:v>-45.633174463903039</c:v>
                </c:pt>
                <c:pt idx="335">
                  <c:v>-45.852155981447424</c:v>
                </c:pt>
                <c:pt idx="336">
                  <c:v>-46.072694199431737</c:v>
                </c:pt>
                <c:pt idx="337">
                  <c:v>-46.294914393914901</c:v>
                </c:pt>
                <c:pt idx="338">
                  <c:v>-46.518950749905045</c:v>
                </c:pt>
                <c:pt idx="339">
                  <c:v>-46.744946753361852</c:v>
                </c:pt>
                <c:pt idx="340">
                  <c:v>-46.973055553985006</c:v>
                </c:pt>
                <c:pt idx="341">
                  <c:v>-47.203440287985444</c:v>
                </c:pt>
                <c:pt idx="342">
                  <c:v>-47.436274348542312</c:v>
                </c:pt>
                <c:pt idx="343">
                  <c:v>-47.671741590132662</c:v>
                </c:pt>
                <c:pt idx="344">
                  <c:v>-47.910036451443645</c:v>
                </c:pt>
                <c:pt idx="345">
                  <c:v>-48.151363980188783</c:v>
                </c:pt>
                <c:pt idx="346">
                  <c:v>-48.395939741953946</c:v>
                </c:pt>
                <c:pt idx="347">
                  <c:v>-48.643989594272327</c:v>
                </c:pt>
                <c:pt idx="348">
                  <c:v>-48.895749306602582</c:v>
                </c:pt>
                <c:pt idx="349">
                  <c:v>-49.151464006873738</c:v>
                </c:pt>
                <c:pt idx="350">
                  <c:v>-49.411387435911379</c:v>
                </c:pt>
                <c:pt idx="351">
                  <c:v>-49.675780992503569</c:v>
                </c:pt>
                <c:pt idx="352">
                  <c:v>-49.944912554241824</c:v>
                </c:pt>
                <c:pt idx="353">
                  <c:v>-50.219055062690813</c:v>
                </c:pt>
                <c:pt idx="354">
                  <c:v>-50.498484865996325</c:v>
                </c:pt>
                <c:pt idx="355">
                  <c:v>-50.783479817757581</c:v>
                </c:pt>
                <c:pt idx="356">
                  <c:v>-51.074317137861158</c:v>
                </c:pt>
                <c:pt idx="357">
                  <c:v>-51.371271048878327</c:v>
                </c:pt>
                <c:pt idx="358">
                  <c:v>-51.674610210388956</c:v>
                </c:pt>
                <c:pt idx="359">
                  <c:v>-51.984594982904582</c:v>
                </c:pt>
                <c:pt idx="360">
                  <c:v>-52.301474562545714</c:v>
                </c:pt>
                <c:pt idx="361">
                  <c:v>-52.625484036789523</c:v>
                </c:pt>
                <c:pt idx="362">
                  <c:v>-52.956841419902929</c:v>
                </c:pt>
                <c:pt idx="363">
                  <c:v>-53.295744733529133</c:v>
                </c:pt>
                <c:pt idx="364">
                  <c:v>-53.642369202715358</c:v>
                </c:pt>
                <c:pt idx="365">
                  <c:v>-53.996864639947489</c:v>
                </c:pt>
                <c:pt idx="366">
                  <c:v>-54.359353089076791</c:v>
                </c:pt>
                <c:pt idx="367">
                  <c:v>-54.729926797130169</c:v>
                </c:pt>
                <c:pt idx="368">
                  <c:v>-55.108646574861069</c:v>
                </c:pt>
                <c:pt idx="369">
                  <c:v>-55.495540596671837</c:v>
                </c:pt>
                <c:pt idx="370">
                  <c:v>-55.89060367766379</c:v>
                </c:pt>
                <c:pt idx="371">
                  <c:v>-56.293797050637586</c:v>
                </c:pt>
                <c:pt idx="372">
                  <c:v>-56.705048649681267</c:v>
                </c:pt>
                <c:pt idx="373">
                  <c:v>-57.124253890426672</c:v>
                </c:pt>
                <c:pt idx="374">
                  <c:v>-57.551276921060165</c:v>
                </c:pt>
                <c:pt idx="375">
                  <c:v>-57.98595230360435</c:v>
                </c:pt>
                <c:pt idx="376">
                  <c:v>-58.428087072615263</c:v>
                </c:pt>
                <c:pt idx="377">
                  <c:v>-58.877463108829176</c:v>
                </c:pt>
                <c:pt idx="378">
                  <c:v>-59.33383975882137</c:v>
                </c:pt>
                <c:pt idx="379">
                  <c:v>-59.796956628522118</c:v>
                </c:pt>
                <c:pt idx="380">
                  <c:v>-60.266536478395608</c:v>
                </c:pt>
                <c:pt idx="381">
                  <c:v>-60.74228815093101</c:v>
                </c:pt>
                <c:pt idx="382">
                  <c:v>-61.223909466385166</c:v>
                </c:pt>
                <c:pt idx="383">
                  <c:v>-61.711090029919845</c:v>
                </c:pt>
                <c:pt idx="384">
                  <c:v>-62.20351390180614</c:v>
                </c:pt>
                <c:pt idx="385">
                  <c:v>-62.700862091645952</c:v>
                </c:pt>
                <c:pt idx="386">
                  <c:v>-63.202814847047868</c:v>
                </c:pt>
                <c:pt idx="387">
                  <c:v>-63.709053716428258</c:v>
                </c:pt>
                <c:pt idx="388">
                  <c:v>-64.219263374216695</c:v>
                </c:pt>
                <c:pt idx="389">
                  <c:v>-64.733133204456863</c:v>
                </c:pt>
                <c:pt idx="390">
                  <c:v>-65.25035864543419</c:v>
                </c:pt>
                <c:pt idx="391">
                  <c:v>-65.770642303447971</c:v>
                </c:pt>
                <c:pt idx="392">
                  <c:v>-66.293694848157628</c:v>
                </c:pt>
                <c:pt idx="393">
                  <c:v>-66.819235705136848</c:v>
                </c:pt>
                <c:pt idx="394">
                  <c:v>-67.346993563439497</c:v>
                </c:pt>
                <c:pt idx="395">
                  <c:v>-67.876706717252986</c:v>
                </c:pt>
                <c:pt idx="396">
                  <c:v>-68.408123261210406</c:v>
                </c:pt>
                <c:pt idx="397">
                  <c:v>-68.941001158805904</c:v>
                </c:pt>
                <c:pt idx="398">
                  <c:v>-69.475108202727128</c:v>
                </c:pt>
                <c:pt idx="399">
                  <c:v>-70.010221884924505</c:v>
                </c:pt>
                <c:pt idx="400">
                  <c:v>-70.54612919297449</c:v>
                </c:pt>
                <c:pt idx="401">
                  <c:v>-71.082626347873841</c:v>
                </c:pt>
                <c:pt idx="402">
                  <c:v>-71.619518496889128</c:v>
                </c:pt>
                <c:pt idx="403">
                  <c:v>-72.156619373551692</c:v>
                </c:pt>
                <c:pt idx="404">
                  <c:v>-72.693750935378205</c:v>
                </c:pt>
                <c:pt idx="405">
                  <c:v>-73.230742988448981</c:v>
                </c:pt>
                <c:pt idx="406">
                  <c:v>-73.767432806613527</c:v>
                </c:pt>
                <c:pt idx="407">
                  <c:v>-74.303664751830482</c:v>
                </c:pt>
                <c:pt idx="408">
                  <c:v>-74.839289901003539</c:v>
                </c:pt>
                <c:pt idx="409">
                  <c:v>-75.374165683633933</c:v>
                </c:pt>
                <c:pt idx="410">
                  <c:v>-75.908155533692437</c:v>
                </c:pt>
                <c:pt idx="411">
                  <c:v>-76.441128558295802</c:v>
                </c:pt>
                <c:pt idx="412">
                  <c:v>-76.9729592250645</c:v>
                </c:pt>
                <c:pt idx="413">
                  <c:v>-77.503527069418922</c:v>
                </c:pt>
                <c:pt idx="414">
                  <c:v>-78.032716422545093</c:v>
                </c:pt>
                <c:pt idx="415">
                  <c:v>-78.560416160305891</c:v>
                </c:pt>
                <c:pt idx="416">
                  <c:v>-79.086519472997537</c:v>
                </c:pt>
                <c:pt idx="417">
                  <c:v>-79.610923655529561</c:v>
                </c:pt>
                <c:pt idx="418">
                  <c:v>-80.133529917345626</c:v>
                </c:pt>
                <c:pt idx="419">
                  <c:v>-80.654243211190092</c:v>
                </c:pt>
                <c:pt idx="420">
                  <c:v>-81.172972079654301</c:v>
                </c:pt>
                <c:pt idx="421">
                  <c:v>-81.689628518304346</c:v>
                </c:pt>
                <c:pt idx="422">
                  <c:v>-82.204127854094253</c:v>
                </c:pt>
                <c:pt idx="423">
                  <c:v>-82.716388637703062</c:v>
                </c:pt>
                <c:pt idx="424">
                  <c:v>-83.226332548386651</c:v>
                </c:pt>
                <c:pt idx="425">
                  <c:v>-83.73388430992361</c:v>
                </c:pt>
                <c:pt idx="426">
                  <c:v>-84.238971616234551</c:v>
                </c:pt>
                <c:pt idx="427">
                  <c:v>-84.741525065274473</c:v>
                </c:pt>
                <c:pt idx="428">
                  <c:v>-85.241478099842453</c:v>
                </c:pt>
                <c:pt idx="429">
                  <c:v>-85.738766954006508</c:v>
                </c:pt>
                <c:pt idx="430">
                  <c:v>-86.233330603903511</c:v>
                </c:pt>
                <c:pt idx="431">
                  <c:v>-86.72511072176745</c:v>
                </c:pt>
                <c:pt idx="432">
                  <c:v>-87.214051632119919</c:v>
                </c:pt>
                <c:pt idx="433">
                  <c:v>-87.700100269166171</c:v>
                </c:pt>
                <c:pt idx="434">
                  <c:v>-88.183206134543099</c:v>
                </c:pt>
                <c:pt idx="435">
                  <c:v>-88.663321254683822</c:v>
                </c:pt>
                <c:pt idx="436">
                  <c:v>-89.140400137185082</c:v>
                </c:pt>
                <c:pt idx="437">
                  <c:v>-89.614399725680215</c:v>
                </c:pt>
                <c:pt idx="438">
                  <c:v>-90.085279352850179</c:v>
                </c:pt>
                <c:pt idx="439">
                  <c:v>-90.553000691324797</c:v>
                </c:pt>
                <c:pt idx="440">
                  <c:v>-91.017527702346882</c:v>
                </c:pt>
                <c:pt idx="441">
                  <c:v>-91.478826582191815</c:v>
                </c:pt>
                <c:pt idx="442">
                  <c:v>-91.936865706439761</c:v>
                </c:pt>
                <c:pt idx="443">
                  <c:v>-92.391615572306677</c:v>
                </c:pt>
                <c:pt idx="444">
                  <c:v>-92.843048739331948</c:v>
                </c:pt>
                <c:pt idx="445">
                  <c:v>-93.291139768805621</c:v>
                </c:pt>
                <c:pt idx="446">
                  <c:v>-93.735865162389516</c:v>
                </c:pt>
                <c:pt idx="447">
                  <c:v>-94.17720330044942</c:v>
                </c:pt>
                <c:pt idx="448">
                  <c:v>-94.615134380661132</c:v>
                </c:pt>
                <c:pt idx="449">
                  <c:v>-95.049640357487363</c:v>
                </c:pt>
                <c:pt idx="450">
                  <c:v>-95.480704883143218</c:v>
                </c:pt>
                <c:pt idx="451">
                  <c:v>-95.908313250669863</c:v>
                </c:pt>
                <c:pt idx="452">
                  <c:v>-96.332452339733337</c:v>
                </c:pt>
                <c:pt idx="453">
                  <c:v>-96.753110565738126</c:v>
                </c:pt>
                <c:pt idx="454">
                  <c:v>-97.170277832812957</c:v>
                </c:pt>
                <c:pt idx="455">
                  <c:v>-97.583945491177687</c:v>
                </c:pt>
                <c:pt idx="456">
                  <c:v>-97.994106299342519</c:v>
                </c:pt>
                <c:pt idx="457">
                  <c:v>-98.400754391522426</c:v>
                </c:pt>
                <c:pt idx="458">
                  <c:v>-98.803885250570858</c:v>
                </c:pt>
                <c:pt idx="459">
                  <c:v>-99.203495686655444</c:v>
                </c:pt>
                <c:pt idx="460">
                  <c:v>-99.59958382180514</c:v>
                </c:pt>
                <c:pt idx="461">
                  <c:v>-99.992149080365905</c:v>
                </c:pt>
                <c:pt idx="462">
                  <c:v>-100.38119218530682</c:v>
                </c:pt>
                <c:pt idx="463">
                  <c:v>-100.76671516021953</c:v>
                </c:pt>
                <c:pt idx="464">
                  <c:v>-101.14872133675932</c:v>
                </c:pt>
                <c:pt idx="465">
                  <c:v>-101.52721536718316</c:v>
                </c:pt>
                <c:pt idx="466">
                  <c:v>-101.90220324155391</c:v>
                </c:pt>
                <c:pt idx="467">
                  <c:v>-102.27369230909282</c:v>
                </c:pt>
                <c:pt idx="468">
                  <c:v>-102.64169130309425</c:v>
                </c:pt>
                <c:pt idx="469">
                  <c:v>-103.00621036874547</c:v>
                </c:pt>
                <c:pt idx="470">
                  <c:v>-103.36726109314263</c:v>
                </c:pt>
                <c:pt idx="471">
                  <c:v>-103.72485653674728</c:v>
                </c:pt>
                <c:pt idx="472">
                  <c:v>-104.07901126549507</c:v>
                </c:pt>
                <c:pt idx="473">
                  <c:v>-104.42974138274998</c:v>
                </c:pt>
                <c:pt idx="474">
                  <c:v>-104.77706456028758</c:v>
                </c:pt>
                <c:pt idx="475">
                  <c:v>-105.12100006749642</c:v>
                </c:pt>
                <c:pt idx="476">
                  <c:v>-105.46156879800635</c:v>
                </c:pt>
                <c:pt idx="477">
                  <c:v>-105.79879329298075</c:v>
                </c:pt>
                <c:pt idx="478">
                  <c:v>-106.13269776035294</c:v>
                </c:pt>
                <c:pt idx="479">
                  <c:v>-106.46330808934061</c:v>
                </c:pt>
                <c:pt idx="480">
                  <c:v>-106.79065185963431</c:v>
                </c:pt>
                <c:pt idx="481">
                  <c:v>-107.11475834472756</c:v>
                </c:pt>
                <c:pt idx="482">
                  <c:v>-107.4356585089386</c:v>
                </c:pt>
                <c:pt idx="483">
                  <c:v>-107.75338499775417</c:v>
                </c:pt>
                <c:pt idx="484">
                  <c:v>-108.06797212122055</c:v>
                </c:pt>
                <c:pt idx="485">
                  <c:v>-108.37945583019604</c:v>
                </c:pt>
                <c:pt idx="486">
                  <c:v>-108.68787368537488</c:v>
                </c:pt>
                <c:pt idx="487">
                  <c:v>-108.99326481908666</c:v>
                </c:pt>
                <c:pt idx="488">
                  <c:v>-109.29566988996187</c:v>
                </c:pt>
                <c:pt idx="489">
                  <c:v>-109.59513103065061</c:v>
                </c:pt>
                <c:pt idx="490">
                  <c:v>-109.8916917888551</c:v>
                </c:pt>
                <c:pt idx="491">
                  <c:v>-110.18539706202165</c:v>
                </c:pt>
                <c:pt idx="492">
                  <c:v>-110.47629302610133</c:v>
                </c:pt>
                <c:pt idx="493">
                  <c:v>-110.76442705885481</c:v>
                </c:pt>
                <c:pt idx="494">
                  <c:v>-111.0498476582278</c:v>
                </c:pt>
                <c:pt idx="495">
                  <c:v>-111.3326043563678</c:v>
                </c:pt>
                <c:pt idx="496">
                  <c:v>-111.61274762988771</c:v>
                </c:pt>
                <c:pt idx="497">
                  <c:v>-111.89032880700606</c:v>
                </c:pt>
                <c:pt idx="498">
                  <c:v>-112.16539997221092</c:v>
                </c:pt>
                <c:pt idx="499">
                  <c:v>-112.4380138690982</c:v>
                </c:pt>
                <c:pt idx="500">
                  <c:v>-112.70822380203472</c:v>
                </c:pt>
                <c:pt idx="501">
                  <c:v>-112.97608353728543</c:v>
                </c:pt>
                <c:pt idx="502">
                  <c:v>-113.24164720422543</c:v>
                </c:pt>
                <c:pt idx="503">
                  <c:v>-113.50496919723301</c:v>
                </c:pt>
                <c:pt idx="504">
                  <c:v>-113.76610407882934</c:v>
                </c:pt>
                <c:pt idx="505">
                  <c:v>-114.02510648459476</c:v>
                </c:pt>
                <c:pt idx="506">
                  <c:v>-114.28203103035074</c:v>
                </c:pt>
                <c:pt idx="507">
                  <c:v>-114.53693222205493</c:v>
                </c:pt>
                <c:pt idx="508">
                  <c:v>-114.7898643688101</c:v>
                </c:pt>
                <c:pt idx="509">
                  <c:v>-115.04088149934134</c:v>
                </c:pt>
                <c:pt idx="510">
                  <c:v>-115.290037282247</c:v>
                </c:pt>
                <c:pt idx="511">
                  <c:v>-115.53738495028306</c:v>
                </c:pt>
                <c:pt idx="512">
                  <c:v>-115.78297722889188</c:v>
                </c:pt>
                <c:pt idx="513">
                  <c:v>-116.02686626914041</c:v>
                </c:pt>
                <c:pt idx="514">
                  <c:v>-116.26910358519015</c:v>
                </c:pt>
                <c:pt idx="515">
                  <c:v>-116.50973999637716</c:v>
                </c:pt>
                <c:pt idx="516">
                  <c:v>-116.74882557394309</c:v>
                </c:pt>
                <c:pt idx="517">
                  <c:v>-116.98640959242086</c:v>
                </c:pt>
                <c:pt idx="518">
                  <c:v>-117.2225404856425</c:v>
                </c:pt>
                <c:pt idx="519">
                  <c:v>-117.45726580731123</c:v>
                </c:pt>
                <c:pt idx="520">
                  <c:v>-117.69063219604801</c:v>
                </c:pt>
                <c:pt idx="521">
                  <c:v>-117.92268534480013</c:v>
                </c:pt>
                <c:pt idx="522">
                  <c:v>-118.15346997447926</c:v>
                </c:pt>
                <c:pt idx="523">
                  <c:v>-118.38302981167759</c:v>
                </c:pt>
                <c:pt idx="524">
                  <c:v>-118.61140757029661</c:v>
                </c:pt>
                <c:pt idx="525">
                  <c:v>-118.83864493690947</c:v>
                </c:pt>
                <c:pt idx="526">
                  <c:v>-119.06478255966937</c:v>
                </c:pt>
                <c:pt idx="527">
                  <c:v>-119.28986004057236</c:v>
                </c:pt>
                <c:pt idx="528">
                  <c:v>-119.51391593087118</c:v>
                </c:pt>
                <c:pt idx="529">
                  <c:v>-119.73698772944309</c:v>
                </c:pt>
                <c:pt idx="530">
                  <c:v>-119.95911188390568</c:v>
                </c:pt>
                <c:pt idx="531">
                  <c:v>-120.1803237942829</c:v>
                </c:pt>
                <c:pt idx="532">
                  <c:v>-120.4006578190201</c:v>
                </c:pt>
                <c:pt idx="533">
                  <c:v>-120.62014728315511</c:v>
                </c:pt>
                <c:pt idx="534">
                  <c:v>-120.83882448845469</c:v>
                </c:pt>
                <c:pt idx="535">
                  <c:v>-121.05672072533173</c:v>
                </c:pt>
                <c:pt idx="536">
                  <c:v>-121.27386628636685</c:v>
                </c:pt>
                <c:pt idx="537">
                  <c:v>-121.49029048126393</c:v>
                </c:pt>
                <c:pt idx="538">
                  <c:v>-121.70602165307605</c:v>
                </c:pt>
                <c:pt idx="539">
                  <c:v>-121.92108719554838</c:v>
                </c:pt>
                <c:pt idx="540">
                  <c:v>-122.13551357143074</c:v>
                </c:pt>
                <c:pt idx="541">
                  <c:v>-122.34932633162353</c:v>
                </c:pt>
              </c:numCache>
            </c:numRef>
          </c:yVal>
          <c:smooth val="1"/>
          <c:extLst>
            <c:ext xmlns:c16="http://schemas.microsoft.com/office/drawing/2014/chart" uri="{C3380CC4-5D6E-409C-BE32-E72D297353CC}">
              <c16:uniqueId val="{00000000-B561-4C80-890B-643E0BF90D63}"/>
            </c:ext>
          </c:extLst>
        </c:ser>
        <c:dLbls>
          <c:showLegendKey val="0"/>
          <c:showVal val="0"/>
          <c:showCatName val="0"/>
          <c:showSerName val="0"/>
          <c:showPercent val="0"/>
          <c:showBubbleSize val="0"/>
        </c:dLbls>
        <c:axId val="162497664"/>
        <c:axId val="162499584"/>
      </c:scatterChart>
      <c:scatterChart>
        <c:scatterStyle val="smoothMarker"/>
        <c:varyColors val="0"/>
        <c:ser>
          <c:idx val="1"/>
          <c:order val="1"/>
          <c:tx>
            <c:v>Phase (deg)</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Loop_Modeling!$AE$19:$AE$560</c:f>
              <c:numCache>
                <c:formatCode>General</c:formatCode>
                <c:ptCount val="542"/>
                <c:pt idx="0">
                  <c:v>-89.110876906057385</c:v>
                </c:pt>
                <c:pt idx="1">
                  <c:v>-89.130397571442117</c:v>
                </c:pt>
                <c:pt idx="2">
                  <c:v>-89.149457430148459</c:v>
                </c:pt>
                <c:pt idx="3">
                  <c:v>-89.168066570079688</c:v>
                </c:pt>
                <c:pt idx="4">
                  <c:v>-89.186234841355272</c:v>
                </c:pt>
                <c:pt idx="5">
                  <c:v>-89.203971861454079</c:v>
                </c:pt>
                <c:pt idx="6">
                  <c:v>-89.221287020239274</c:v>
                </c:pt>
                <c:pt idx="7">
                  <c:v>-89.238189484867704</c:v>
                </c:pt>
                <c:pt idx="8">
                  <c:v>-89.25468820458569</c:v>
                </c:pt>
                <c:pt idx="9">
                  <c:v>-89.270791915413639</c:v>
                </c:pt>
                <c:pt idx="10">
                  <c:v>-89.286509144721649</c:v>
                </c:pt>
                <c:pt idx="11">
                  <c:v>-89.301848215698186</c:v>
                </c:pt>
                <c:pt idx="12">
                  <c:v>-89.316817251714113</c:v>
                </c:pt>
                <c:pt idx="13">
                  <c:v>-89.33142418058388</c:v>
                </c:pt>
                <c:pt idx="14">
                  <c:v>-89.345676738726283</c:v>
                </c:pt>
                <c:pt idx="15">
                  <c:v>-89.359582475226418</c:v>
                </c:pt>
                <c:pt idx="16">
                  <c:v>-89.373148755801139</c:v>
                </c:pt>
                <c:pt idx="17">
                  <c:v>-89.386382766669584</c:v>
                </c:pt>
                <c:pt idx="18">
                  <c:v>-89.399291518331012</c:v>
                </c:pt>
                <c:pt idx="19">
                  <c:v>-89.411881849251571</c:v>
                </c:pt>
                <c:pt idx="20">
                  <c:v>-89.424160429461892</c:v>
                </c:pt>
                <c:pt idx="21">
                  <c:v>-89.436133764067208</c:v>
                </c:pt>
                <c:pt idx="22">
                  <c:v>-89.447808196671801</c:v>
                </c:pt>
                <c:pt idx="23">
                  <c:v>-89.459189912719594</c:v>
                </c:pt>
                <c:pt idx="24">
                  <c:v>-89.470284942752187</c:v>
                </c:pt>
                <c:pt idx="25">
                  <c:v>-89.481099165586386</c:v>
                </c:pt>
                <c:pt idx="26">
                  <c:v>-89.49163831141253</c:v>
                </c:pt>
                <c:pt idx="27">
                  <c:v>-89.501907964815288</c:v>
                </c:pt>
                <c:pt idx="28">
                  <c:v>-89.511913567718381</c:v>
                </c:pt>
                <c:pt idx="29">
                  <c:v>-89.521660422254811</c:v>
                </c:pt>
                <c:pt idx="30">
                  <c:v>-89.531153693563923</c:v>
                </c:pt>
                <c:pt idx="31">
                  <c:v>-89.540398412516794</c:v>
                </c:pt>
                <c:pt idx="32">
                  <c:v>-89.549399478371384</c:v>
                </c:pt>
                <c:pt idx="33">
                  <c:v>-89.558161661358596</c:v>
                </c:pt>
                <c:pt idx="34">
                  <c:v>-89.566689605200764</c:v>
                </c:pt>
                <c:pt idx="35">
                  <c:v>-89.574987829563838</c:v>
                </c:pt>
                <c:pt idx="36">
                  <c:v>-89.583060732444338</c:v>
                </c:pt>
                <c:pt idx="37">
                  <c:v>-89.590912592492558</c:v>
                </c:pt>
                <c:pt idx="38">
                  <c:v>-89.598547571272945</c:v>
                </c:pt>
                <c:pt idx="39">
                  <c:v>-89.60596971546299</c:v>
                </c:pt>
                <c:pt idx="40">
                  <c:v>-89.6131829589918</c:v>
                </c:pt>
                <c:pt idx="41">
                  <c:v>-89.620191125119192</c:v>
                </c:pt>
                <c:pt idx="42">
                  <c:v>-89.626997928456717</c:v>
                </c:pt>
                <c:pt idx="43">
                  <c:v>-89.633606976931375</c:v>
                </c:pt>
                <c:pt idx="44">
                  <c:v>-89.640021773693206</c:v>
                </c:pt>
                <c:pt idx="45">
                  <c:v>-89.646245718967705</c:v>
                </c:pt>
                <c:pt idx="46">
                  <c:v>-89.652282111853879</c:v>
                </c:pt>
                <c:pt idx="47">
                  <c:v>-89.658134152069138</c:v>
                </c:pt>
                <c:pt idx="48">
                  <c:v>-89.6638049416418</c:v>
                </c:pt>
                <c:pt idx="49">
                  <c:v>-89.669297486551869</c:v>
                </c:pt>
                <c:pt idx="50">
                  <c:v>-89.674614698321378</c:v>
                </c:pt>
                <c:pt idx="51">
                  <c:v>-89.679759395554754</c:v>
                </c:pt>
                <c:pt idx="52">
                  <c:v>-89.684734305430169</c:v>
                </c:pt>
                <c:pt idx="53">
                  <c:v>-89.689542065142589</c:v>
                </c:pt>
                <c:pt idx="54">
                  <c:v>-89.694185223299428</c:v>
                </c:pt>
                <c:pt idx="55">
                  <c:v>-89.698666241269237</c:v>
                </c:pt>
                <c:pt idx="56">
                  <c:v>-89.70298749448439</c:v>
                </c:pt>
                <c:pt idx="57">
                  <c:v>-89.707151273698415</c:v>
                </c:pt>
                <c:pt idx="58">
                  <c:v>-89.711159786198493</c:v>
                </c:pt>
                <c:pt idx="59">
                  <c:v>-89.715015156973877</c:v>
                </c:pt>
                <c:pt idx="60">
                  <c:v>-89.718719429840746</c:v>
                </c:pt>
                <c:pt idx="61">
                  <c:v>-89.722274568524242</c:v>
                </c:pt>
                <c:pt idx="62">
                  <c:v>-89.725682457698014</c:v>
                </c:pt>
                <c:pt idx="63">
                  <c:v>-89.728944903982125</c:v>
                </c:pt>
                <c:pt idx="64">
                  <c:v>-89.732063636899497</c:v>
                </c:pt>
                <c:pt idx="65">
                  <c:v>-89.735040309791657</c:v>
                </c:pt>
                <c:pt idx="66">
                  <c:v>-89.737876500694185</c:v>
                </c:pt>
                <c:pt idx="67">
                  <c:v>-89.740573713172225</c:v>
                </c:pt>
                <c:pt idx="68">
                  <c:v>-89.743133377116749</c:v>
                </c:pt>
                <c:pt idx="69">
                  <c:v>-89.745556849501583</c:v>
                </c:pt>
                <c:pt idx="70">
                  <c:v>-89.747845415102063</c:v>
                </c:pt>
                <c:pt idx="71">
                  <c:v>-89.75000028717534</c:v>
                </c:pt>
                <c:pt idx="72">
                  <c:v>-89.752022608102834</c:v>
                </c:pt>
                <c:pt idx="73">
                  <c:v>-89.753913449995238</c:v>
                </c:pt>
                <c:pt idx="74">
                  <c:v>-89.755673815260138</c:v>
                </c:pt>
                <c:pt idx="75">
                  <c:v>-89.757304637132933</c:v>
                </c:pt>
                <c:pt idx="76">
                  <c:v>-89.758806780170943</c:v>
                </c:pt>
                <c:pt idx="77">
                  <c:v>-89.760181040711274</c:v>
                </c:pt>
                <c:pt idx="78">
                  <c:v>-89.761428147292378</c:v>
                </c:pt>
                <c:pt idx="79">
                  <c:v>-89.762548761039895</c:v>
                </c:pt>
                <c:pt idx="80">
                  <c:v>-89.763543476016622</c:v>
                </c:pt>
                <c:pt idx="81">
                  <c:v>-89.764412819537029</c:v>
                </c:pt>
                <c:pt idx="82">
                  <c:v>-89.765157252446386</c:v>
                </c:pt>
                <c:pt idx="83">
                  <c:v>-89.765777169364668</c:v>
                </c:pt>
                <c:pt idx="84">
                  <c:v>-89.766272898895366</c:v>
                </c:pt>
                <c:pt idx="85">
                  <c:v>-89.766644703799301</c:v>
                </c:pt>
                <c:pt idx="86">
                  <c:v>-89.766892781133578</c:v>
                </c:pt>
                <c:pt idx="87">
                  <c:v>-89.767017262355694</c:v>
                </c:pt>
                <c:pt idx="88">
                  <c:v>-89.767018213392831</c:v>
                </c:pt>
                <c:pt idx="89">
                  <c:v>-89.766895634676501</c:v>
                </c:pt>
                <c:pt idx="90">
                  <c:v>-89.766649461142435</c:v>
                </c:pt>
                <c:pt idx="91">
                  <c:v>-89.766279562195649</c:v>
                </c:pt>
                <c:pt idx="92">
                  <c:v>-89.765785741641025</c:v>
                </c:pt>
                <c:pt idx="93">
                  <c:v>-89.765167737578807</c:v>
                </c:pt>
                <c:pt idx="94">
                  <c:v>-89.764425222265487</c:v>
                </c:pt>
                <c:pt idx="95">
                  <c:v>-89.763557801939641</c:v>
                </c:pt>
                <c:pt idx="96">
                  <c:v>-89.762565016612925</c:v>
                </c:pt>
                <c:pt idx="97">
                  <c:v>-89.761446339825667</c:v>
                </c:pt>
                <c:pt idx="98">
                  <c:v>-89.760201178367609</c:v>
                </c:pt>
                <c:pt idx="99">
                  <c:v>-89.75882887196282</c:v>
                </c:pt>
                <c:pt idx="100">
                  <c:v>-89.757328692919401</c:v>
                </c:pt>
                <c:pt idx="101">
                  <c:v>-89.755699845743223</c:v>
                </c:pt>
                <c:pt idx="102">
                  <c:v>-89.753941466715759</c:v>
                </c:pt>
                <c:pt idx="103">
                  <c:v>-89.752052623435759</c:v>
                </c:pt>
                <c:pt idx="104">
                  <c:v>-89.750032314324514</c:v>
                </c:pt>
                <c:pt idx="105">
                  <c:v>-89.74787946809424</c:v>
                </c:pt>
                <c:pt idx="106">
                  <c:v>-89.745592943179801</c:v>
                </c:pt>
                <c:pt idx="107">
                  <c:v>-89.743171527132859</c:v>
                </c:pt>
                <c:pt idx="108">
                  <c:v>-89.740613935978502</c:v>
                </c:pt>
                <c:pt idx="109">
                  <c:v>-89.737918813534066</c:v>
                </c:pt>
                <c:pt idx="110">
                  <c:v>-89.735084730689422</c:v>
                </c:pt>
                <c:pt idx="111">
                  <c:v>-89.732110184648761</c:v>
                </c:pt>
                <c:pt idx="112">
                  <c:v>-89.728993598133016</c:v>
                </c:pt>
                <c:pt idx="113">
                  <c:v>-89.725733318543135</c:v>
                </c:pt>
                <c:pt idx="114">
                  <c:v>-89.72232761708301</c:v>
                </c:pt>
                <c:pt idx="115">
                  <c:v>-89.718774687842185</c:v>
                </c:pt>
                <c:pt idx="116">
                  <c:v>-89.715072646837513</c:v>
                </c:pt>
                <c:pt idx="117">
                  <c:v>-89.711219531013541</c:v>
                </c:pt>
                <c:pt idx="118">
                  <c:v>-89.707213297200582</c:v>
                </c:pt>
                <c:pt idx="119">
                  <c:v>-89.703051821030684</c:v>
                </c:pt>
                <c:pt idx="120">
                  <c:v>-89.698732895810082</c:v>
                </c:pt>
                <c:pt idx="121">
                  <c:v>-89.694254231348239</c:v>
                </c:pt>
                <c:pt idx="122">
                  <c:v>-89.689613452742321</c:v>
                </c:pt>
                <c:pt idx="123">
                  <c:v>-89.684808099116864</c:v>
                </c:pt>
                <c:pt idx="124">
                  <c:v>-89.679835622317555</c:v>
                </c:pt>
                <c:pt idx="125">
                  <c:v>-89.674693385558953</c:v>
                </c:pt>
                <c:pt idx="126">
                  <c:v>-89.669378662024712</c:v>
                </c:pt>
                <c:pt idx="127">
                  <c:v>-89.663888633420385</c:v>
                </c:pt>
                <c:pt idx="128">
                  <c:v>-89.658220388477375</c:v>
                </c:pt>
                <c:pt idx="129">
                  <c:v>-89.652370921407382</c:v>
                </c:pt>
                <c:pt idx="130">
                  <c:v>-89.646337130306947</c:v>
                </c:pt>
                <c:pt idx="131">
                  <c:v>-89.640115815510541</c:v>
                </c:pt>
                <c:pt idx="132">
                  <c:v>-89.63370367789183</c:v>
                </c:pt>
                <c:pt idx="133">
                  <c:v>-89.627097317112131</c:v>
                </c:pt>
                <c:pt idx="134">
                  <c:v>-89.620293229814834</c:v>
                </c:pt>
                <c:pt idx="135">
                  <c:v>-89.613287807765161</c:v>
                </c:pt>
                <c:pt idx="136">
                  <c:v>-89.606077335934103</c:v>
                </c:pt>
                <c:pt idx="137">
                  <c:v>-89.598657990525467</c:v>
                </c:pt>
                <c:pt idx="138">
                  <c:v>-89.591025836945093</c:v>
                </c:pt>
                <c:pt idx="139">
                  <c:v>-89.583176827711057</c:v>
                </c:pt>
                <c:pt idx="140">
                  <c:v>-89.575106800303772</c:v>
                </c:pt>
                <c:pt idx="141">
                  <c:v>-89.566811474954761</c:v>
                </c:pt>
                <c:pt idx="142">
                  <c:v>-89.558286452373039</c:v>
                </c:pt>
                <c:pt idx="143">
                  <c:v>-89.54952721140782</c:v>
                </c:pt>
                <c:pt idx="144">
                  <c:v>-89.540529106646176</c:v>
                </c:pt>
                <c:pt idx="145">
                  <c:v>-89.531287365944522</c:v>
                </c:pt>
                <c:pt idx="146">
                  <c:v>-89.521797087892494</c:v>
                </c:pt>
                <c:pt idx="147">
                  <c:v>-89.512053239207901</c:v>
                </c:pt>
                <c:pt idx="148">
                  <c:v>-89.502050652061186</c:v>
                </c:pt>
                <c:pt idx="149">
                  <c:v>-89.491784021328272</c:v>
                </c:pt>
                <c:pt idx="150">
                  <c:v>-89.481247901769933</c:v>
                </c:pt>
                <c:pt idx="151">
                  <c:v>-89.470436705136336</c:v>
                </c:pt>
                <c:pt idx="152">
                  <c:v>-89.459344697195263</c:v>
                </c:pt>
                <c:pt idx="153">
                  <c:v>-89.447965994682207</c:v>
                </c:pt>
                <c:pt idx="154">
                  <c:v>-89.436294562170801</c:v>
                </c:pt>
                <c:pt idx="155">
                  <c:v>-89.424324208861833</c:v>
                </c:pt>
                <c:pt idx="156">
                  <c:v>-89.412048585289114</c:v>
                </c:pt>
                <c:pt idx="157">
                  <c:v>-89.399461179940388</c:v>
                </c:pt>
                <c:pt idx="158">
                  <c:v>-89.386555315791355</c:v>
                </c:pt>
                <c:pt idx="159">
                  <c:v>-89.373324146751116</c:v>
                </c:pt>
                <c:pt idx="160">
                  <c:v>-89.359760654016824</c:v>
                </c:pt>
                <c:pt idx="161">
                  <c:v>-89.345857642335702</c:v>
                </c:pt>
                <c:pt idx="162">
                  <c:v>-89.331607736172302</c:v>
                </c:pt>
                <c:pt idx="163">
                  <c:v>-89.317003375779038</c:v>
                </c:pt>
                <c:pt idx="164">
                  <c:v>-89.302036813167447</c:v>
                </c:pt>
                <c:pt idx="165">
                  <c:v>-89.286700107978405</c:v>
                </c:pt>
                <c:pt idx="166">
                  <c:v>-89.270985123248749</c:v>
                </c:pt>
                <c:pt idx="167">
                  <c:v>-89.254883521071903</c:v>
                </c:pt>
                <c:pt idx="168">
                  <c:v>-89.238386758150213</c:v>
                </c:pt>
                <c:pt idx="169">
                  <c:v>-89.22148608123652</c:v>
                </c:pt>
                <c:pt idx="170">
                  <c:v>-89.204172522462329</c:v>
                </c:pt>
                <c:pt idx="171">
                  <c:v>-89.186436894549971</c:v>
                </c:pt>
                <c:pt idx="172">
                  <c:v>-89.168269785906105</c:v>
                </c:pt>
                <c:pt idx="173">
                  <c:v>-89.149661555593667</c:v>
                </c:pt>
                <c:pt idx="174">
                  <c:v>-89.130602328179705</c:v>
                </c:pt>
                <c:pt idx="175">
                  <c:v>-89.111081988455823</c:v>
                </c:pt>
                <c:pt idx="176">
                  <c:v>-89.091090176028445</c:v>
                </c:pt>
                <c:pt idx="177">
                  <c:v>-89.070616279775749</c:v>
                </c:pt>
                <c:pt idx="178">
                  <c:v>-89.04964943216811</c:v>
                </c:pt>
                <c:pt idx="179">
                  <c:v>-89.028178503448771</c:v>
                </c:pt>
                <c:pt idx="180">
                  <c:v>-89.006192095671395</c:v>
                </c:pt>
                <c:pt idx="181">
                  <c:v>-88.983678536591015</c:v>
                </c:pt>
                <c:pt idx="182">
                  <c:v>-88.960625873404879</c:v>
                </c:pt>
                <c:pt idx="183">
                  <c:v>-88.937021866339563</c:v>
                </c:pt>
                <c:pt idx="184">
                  <c:v>-88.912853982080364</c:v>
                </c:pt>
                <c:pt idx="185">
                  <c:v>-88.888109387039535</c:v>
                </c:pt>
                <c:pt idx="186">
                  <c:v>-88.862774940458891</c:v>
                </c:pt>
                <c:pt idx="187">
                  <c:v>-88.83683718734315</c:v>
                </c:pt>
                <c:pt idx="188">
                  <c:v>-88.810282351219328</c:v>
                </c:pt>
                <c:pt idx="189">
                  <c:v>-88.78309632671828</c:v>
                </c:pt>
                <c:pt idx="190">
                  <c:v>-88.755264671973606</c:v>
                </c:pt>
                <c:pt idx="191">
                  <c:v>-88.726772600833499</c:v>
                </c:pt>
                <c:pt idx="192">
                  <c:v>-88.697604974880505</c:v>
                </c:pt>
                <c:pt idx="193">
                  <c:v>-88.667746295254801</c:v>
                </c:pt>
                <c:pt idx="194">
                  <c:v>-88.637180694275401</c:v>
                </c:pt>
                <c:pt idx="195">
                  <c:v>-88.605891926854326</c:v>
                </c:pt>
                <c:pt idx="196">
                  <c:v>-88.573863361698557</c:v>
                </c:pt>
                <c:pt idx="197">
                  <c:v>-88.541077972293749</c:v>
                </c:pt>
                <c:pt idx="198">
                  <c:v>-88.507518327664485</c:v>
                </c:pt>
                <c:pt idx="199">
                  <c:v>-88.473166582904838</c:v>
                </c:pt>
                <c:pt idx="200">
                  <c:v>-88.438004469473356</c:v>
                </c:pt>
                <c:pt idx="201">
                  <c:v>-88.402013285245857</c:v>
                </c:pt>
                <c:pt idx="202">
                  <c:v>-88.365173884320015</c:v>
                </c:pt>
                <c:pt idx="203">
                  <c:v>-88.327466666564419</c:v>
                </c:pt>
                <c:pt idx="204">
                  <c:v>-88.288871566905854</c:v>
                </c:pt>
                <c:pt idx="205">
                  <c:v>-88.24936804434671</c:v>
                </c:pt>
                <c:pt idx="206">
                  <c:v>-88.208935070705948</c:v>
                </c:pt>
                <c:pt idx="207">
                  <c:v>-88.167551119075455</c:v>
                </c:pt>
                <c:pt idx="208">
                  <c:v>-88.125194151983678</c:v>
                </c:pt>
                <c:pt idx="209">
                  <c:v>-88.081841609258817</c:v>
                </c:pt>
                <c:pt idx="210">
                  <c:v>-88.037470395582304</c:v>
                </c:pt>
                <c:pt idx="211">
                  <c:v>-87.992056867724287</c:v>
                </c:pt>
                <c:pt idx="212">
                  <c:v>-87.945576821451482</c:v>
                </c:pt>
                <c:pt idx="213">
                  <c:v>-87.898005478098185</c:v>
                </c:pt>
                <c:pt idx="214">
                  <c:v>-87.84931747079014</c:v>
                </c:pt>
                <c:pt idx="215">
                  <c:v>-87.79948683031121</c:v>
                </c:pt>
                <c:pt idx="216">
                  <c:v>-87.748486970602201</c:v>
                </c:pt>
                <c:pt idx="217">
                  <c:v>-87.696290673880426</c:v>
                </c:pt>
                <c:pt idx="218">
                  <c:v>-87.642870075368549</c:v>
                </c:pt>
                <c:pt idx="219">
                  <c:v>-87.588196647621089</c:v>
                </c:pt>
                <c:pt idx="220">
                  <c:v>-87.532241184435094</c:v>
                </c:pt>
                <c:pt idx="221">
                  <c:v>-87.474973784333059</c:v>
                </c:pt>
                <c:pt idx="222">
                  <c:v>-87.416363833603782</c:v>
                </c:pt>
                <c:pt idx="223">
                  <c:v>-87.356379988886985</c:v>
                </c:pt>
                <c:pt idx="224">
                  <c:v>-87.294990159287465</c:v>
                </c:pt>
                <c:pt idx="225">
                  <c:v>-87.232161488002831</c:v>
                </c:pt>
                <c:pt idx="226">
                  <c:v>-87.167860333449056</c:v>
                </c:pt>
                <c:pt idx="227">
                  <c:v>-87.102052249866858</c:v>
                </c:pt>
                <c:pt idx="228">
                  <c:v>-87.034701967391911</c:v>
                </c:pt>
                <c:pt idx="229">
                  <c:v>-86.965773371569412</c:v>
                </c:pt>
                <c:pt idx="230">
                  <c:v>-86.89522948229552</c:v>
                </c:pt>
                <c:pt idx="231">
                  <c:v>-86.823032432164055</c:v>
                </c:pt>
                <c:pt idx="232">
                  <c:v>-86.749143444198623</c:v>
                </c:pt>
                <c:pt idx="233">
                  <c:v>-86.673522808947595</c:v>
                </c:pt>
                <c:pt idx="234">
                  <c:v>-86.596129860919348</c:v>
                </c:pt>
                <c:pt idx="235">
                  <c:v>-86.516922954333481</c:v>
                </c:pt>
                <c:pt idx="236">
                  <c:v>-86.435859438162979</c:v>
                </c:pt>
                <c:pt idx="237">
                  <c:v>-86.352895630440756</c:v>
                </c:pt>
                <c:pt idx="238">
                  <c:v>-86.267986791802969</c:v>
                </c:pt>
                <c:pt idx="239">
                  <c:v>-86.181087098239658</c:v>
                </c:pt>
                <c:pt idx="240">
                  <c:v>-86.092149613023167</c:v>
                </c:pt>
                <c:pt idx="241">
                  <c:v>-86.001126257780612</c:v>
                </c:pt>
                <c:pt idx="242">
                  <c:v>-85.907967782678696</c:v>
                </c:pt>
                <c:pt idx="243">
                  <c:v>-85.812623735683715</c:v>
                </c:pt>
                <c:pt idx="244">
                  <c:v>-85.715042430860819</c:v>
                </c:pt>
                <c:pt idx="245">
                  <c:v>-85.615170915672863</c:v>
                </c:pt>
                <c:pt idx="246">
                  <c:v>-85.512954937237652</c:v>
                </c:pt>
                <c:pt idx="247">
                  <c:v>-85.40833890750082</c:v>
                </c:pt>
                <c:pt idx="248">
                  <c:v>-85.301265867278502</c:v>
                </c:pt>
                <c:pt idx="249">
                  <c:v>-85.191677449121798</c:v>
                </c:pt>
                <c:pt idx="250">
                  <c:v>-85.079513838953048</c:v>
                </c:pt>
                <c:pt idx="251">
                  <c:v>-84.964713736420521</c:v>
                </c:pt>
                <c:pt idx="252">
                  <c:v>-84.847214313915998</c:v>
                </c:pt>
                <c:pt idx="253">
                  <c:v>-84.726951174196159</c:v>
                </c:pt>
                <c:pt idx="254">
                  <c:v>-84.603858306545732</c:v>
                </c:pt>
                <c:pt idx="255">
                  <c:v>-84.477868041417977</c:v>
                </c:pt>
                <c:pt idx="256">
                  <c:v>-84.348911003482627</c:v>
                </c:pt>
                <c:pt idx="257">
                  <c:v>-84.216916063010487</c:v>
                </c:pt>
                <c:pt idx="258">
                  <c:v>-84.081810285516511</c:v>
                </c:pt>
                <c:pt idx="259">
                  <c:v>-83.943518879583621</c:v>
                </c:pt>
                <c:pt idx="260">
                  <c:v>-83.801965142780276</c:v>
                </c:pt>
                <c:pt idx="261">
                  <c:v>-83.657070405585216</c:v>
                </c:pt>
                <c:pt idx="262">
                  <c:v>-83.508753973224287</c:v>
                </c:pt>
                <c:pt idx="263">
                  <c:v>-83.356933065321357</c:v>
                </c:pt>
                <c:pt idx="264">
                  <c:v>-83.201522753259795</c:v>
                </c:pt>
                <c:pt idx="265">
                  <c:v>-83.042435895145786</c:v>
                </c:pt>
                <c:pt idx="266">
                  <c:v>-82.879583068259038</c:v>
                </c:pt>
                <c:pt idx="267">
                  <c:v>-82.712872498869743</c:v>
                </c:pt>
                <c:pt idx="268">
                  <c:v>-82.542209989296524</c:v>
                </c:pt>
                <c:pt idx="269">
                  <c:v>-82.36749884207299</c:v>
                </c:pt>
                <c:pt idx="270">
                  <c:v>-82.188639781082344</c:v>
                </c:pt>
                <c:pt idx="271">
                  <c:v>-82.005530869515837</c:v>
                </c:pt>
                <c:pt idx="272">
                  <c:v>-81.818067424502445</c:v>
                </c:pt>
                <c:pt idx="273">
                  <c:v>-81.626141928248956</c:v>
                </c:pt>
                <c:pt idx="274">
                  <c:v>-81.42964393552522</c:v>
                </c:pt>
                <c:pt idx="275">
                  <c:v>-81.228459977319829</c:v>
                </c:pt>
                <c:pt idx="276">
                  <c:v>-81.022473460484903</c:v>
                </c:pt>
                <c:pt idx="277">
                  <c:v>-80.811564563181236</c:v>
                </c:pt>
                <c:pt idx="278">
                  <c:v>-80.595610125928232</c:v>
                </c:pt>
                <c:pt idx="279">
                  <c:v>-80.374483538054619</c:v>
                </c:pt>
                <c:pt idx="280">
                  <c:v>-80.148054619340826</c:v>
                </c:pt>
                <c:pt idx="281">
                  <c:v>-79.916189496634658</c:v>
                </c:pt>
                <c:pt idx="282">
                  <c:v>-79.678750475217811</c:v>
                </c:pt>
                <c:pt idx="283">
                  <c:v>-79.435595904694438</c:v>
                </c:pt>
                <c:pt idx="284">
                  <c:v>-79.186580039167339</c:v>
                </c:pt>
                <c:pt idx="285">
                  <c:v>-78.931552891462857</c:v>
                </c:pt>
                <c:pt idx="286">
                  <c:v>-78.670360081164802</c:v>
                </c:pt>
                <c:pt idx="287">
                  <c:v>-78.402842676213979</c:v>
                </c:pt>
                <c:pt idx="288">
                  <c:v>-78.128837027829178</c:v>
                </c:pt>
                <c:pt idx="289">
                  <c:v>-77.848174598512529</c:v>
                </c:pt>
                <c:pt idx="290">
                  <c:v>-77.560681782898357</c:v>
                </c:pt>
                <c:pt idx="291">
                  <c:v>-77.266179721221818</c:v>
                </c:pt>
                <c:pt idx="292">
                  <c:v>-76.964484105186003</c:v>
                </c:pt>
                <c:pt idx="293">
                  <c:v>-76.655404976025494</c:v>
                </c:pt>
                <c:pt idx="294">
                  <c:v>-76.338746514583704</c:v>
                </c:pt>
                <c:pt idx="295">
                  <c:v>-76.014306823243942</c:v>
                </c:pt>
                <c:pt idx="296">
                  <c:v>-75.68187769958908</c:v>
                </c:pt>
                <c:pt idx="297">
                  <c:v>-75.34124440169802</c:v>
                </c:pt>
                <c:pt idx="298">
                  <c:v>-74.992185405041781</c:v>
                </c:pt>
                <c:pt idx="299">
                  <c:v>-74.634472150990575</c:v>
                </c:pt>
                <c:pt idx="300">
                  <c:v>-74.267868787020006</c:v>
                </c:pt>
                <c:pt idx="301">
                  <c:v>-73.892131898778032</c:v>
                </c:pt>
                <c:pt idx="302">
                  <c:v>-73.507010234276805</c:v>
                </c:pt>
                <c:pt idx="303">
                  <c:v>-73.112244420581845</c:v>
                </c:pt>
                <c:pt idx="304">
                  <c:v>-72.707566673507472</c:v>
                </c:pt>
                <c:pt idx="305">
                  <c:v>-72.292700500978015</c:v>
                </c:pt>
                <c:pt idx="306">
                  <c:v>-71.867360400894512</c:v>
                </c:pt>
                <c:pt idx="307">
                  <c:v>-71.431251554558528</c:v>
                </c:pt>
                <c:pt idx="308">
                  <c:v>-70.984069516935236</c:v>
                </c:pt>
                <c:pt idx="309">
                  <c:v>-70.525499905322704</c:v>
                </c:pt>
                <c:pt idx="310">
                  <c:v>-70.055218088301984</c:v>
                </c:pt>
                <c:pt idx="311">
                  <c:v>-69.572888877208939</c:v>
                </c:pt>
                <c:pt idx="312">
                  <c:v>-69.078166222776062</c:v>
                </c:pt>
                <c:pt idx="313">
                  <c:v>-68.570692920062697</c:v>
                </c:pt>
                <c:pt idx="314">
                  <c:v>-68.050100325318823</c:v>
                </c:pt>
                <c:pt idx="315">
                  <c:v>-67.516008089029512</c:v>
                </c:pt>
                <c:pt idx="316">
                  <c:v>-66.968023910057155</c:v>
                </c:pt>
                <c:pt idx="317">
                  <c:v>-66.405743316558883</c:v>
                </c:pt>
                <c:pt idx="318">
                  <c:v>-65.828749480201466</c:v>
                </c:pt>
                <c:pt idx="319">
                  <c:v>-65.236613071140368</c:v>
                </c:pt>
                <c:pt idx="320">
                  <c:v>-64.628892162278817</c:v>
                </c:pt>
                <c:pt idx="321">
                  <c:v>-64.005132192478627</c:v>
                </c:pt>
                <c:pt idx="322">
                  <c:v>-63.364865999674358</c:v>
                </c:pt>
                <c:pt idx="323">
                  <c:v>-62.707613936232292</c:v>
                </c:pt>
                <c:pt idx="324">
                  <c:v>-62.03288408041324</c:v>
                </c:pt>
                <c:pt idx="325">
                  <c:v>-61.340172559442806</c:v>
                </c:pt>
                <c:pt idx="326">
                  <c:v>-60.628964001439918</c:v>
                </c:pt>
                <c:pt idx="327">
                  <c:v>-59.898732135321204</c:v>
                </c:pt>
                <c:pt idx="328">
                  <c:v>-59.148940559758721</c:v>
                </c:pt>
                <c:pt idx="329">
                  <c:v>-58.379043704279816</c:v>
                </c:pt>
                <c:pt idx="330">
                  <c:v>-57.588488007681683</c:v>
                </c:pt>
                <c:pt idx="331">
                  <c:v>-56.776713340961237</c:v>
                </c:pt>
                <c:pt idx="332">
                  <c:v>-55.943154703972901</c:v>
                </c:pt>
                <c:pt idx="333">
                  <c:v>-55.087244226860051</c:v>
                </c:pt>
                <c:pt idx="334">
                  <c:v>-54.208413508937113</c:v>
                </c:pt>
                <c:pt idx="335">
                  <c:v>-53.306096328961793</c:v>
                </c:pt>
                <c:pt idx="336">
                  <c:v>-52.379731761538878</c:v>
                </c:pt>
                <c:pt idx="337">
                  <c:v>-51.428767734520413</c:v>
                </c:pt>
                <c:pt idx="338">
                  <c:v>-50.45266506160371</c:v>
                </c:pt>
                <c:pt idx="339">
                  <c:v>-49.450901982551464</c:v>
                </c:pt>
                <c:pt idx="340">
                  <c:v>-48.422979240449664</c:v>
                </c:pt>
                <c:pt idx="341">
                  <c:v>-47.368425720782405</c:v>
                </c:pt>
                <c:pt idx="342">
                  <c:v>-46.286804670705649</c:v>
                </c:pt>
                <c:pt idx="343">
                  <c:v>-45.177720508303736</c:v>
                </c:pt>
                <c:pt idx="344">
                  <c:v>-44.040826220676777</c:v>
                </c:pt>
                <c:pt idx="345">
                  <c:v>-42.875831336100866</c:v>
                </c:pt>
                <c:pt idx="346">
                  <c:v>-41.682510439059882</c:v>
                </c:pt>
                <c:pt idx="347">
                  <c:v>-40.460712177591788</c:v>
                </c:pt>
                <c:pt idx="348">
                  <c:v>-39.210368690073125</c:v>
                </c:pt>
                <c:pt idx="349">
                  <c:v>-37.931505353533936</c:v>
                </c:pt>
                <c:pt idx="350">
                  <c:v>-36.624250728166878</c:v>
                </c:pt>
                <c:pt idx="351">
                  <c:v>-35.288846543526908</c:v>
                </c:pt>
                <c:pt idx="352">
                  <c:v>-33.925657541894857</c:v>
                </c:pt>
                <c:pt idx="353">
                  <c:v>-32.535180964591412</c:v>
                </c:pt>
                <c:pt idx="354">
                  <c:v>-31.11805543919284</c:v>
                </c:pt>
                <c:pt idx="355">
                  <c:v>-29.675069001388973</c:v>
                </c:pt>
                <c:pt idx="356">
                  <c:v>-28.207165966629383</c:v>
                </c:pt>
                <c:pt idx="357">
                  <c:v>-26.715452355911452</c:v>
                </c:pt>
                <c:pt idx="358">
                  <c:v>-25.201199579161464</c:v>
                </c:pt>
                <c:pt idx="359">
                  <c:v>-23.665846090682994</c:v>
                </c:pt>
                <c:pt idx="360">
                  <c:v>-22.110996755638755</c:v>
                </c:pt>
                <c:pt idx="361">
                  <c:v>-20.538419705581855</c:v>
                </c:pt>
                <c:pt idx="362">
                  <c:v>-18.950040514818877</c:v>
                </c:pt>
                <c:pt idx="363">
                  <c:v>-17.347933597169028</c:v>
                </c:pt>
                <c:pt idx="364">
                  <c:v>-15.734310802634139</c:v>
                </c:pt>
                <c:pt idx="365">
                  <c:v>-14.111507282642361</c:v>
                </c:pt>
                <c:pt idx="366">
                  <c:v>-12.481964786903369</c:v>
                </c:pt>
                <c:pt idx="367">
                  <c:v>-10.848212649720471</c:v>
                </c:pt>
                <c:pt idx="368">
                  <c:v>-9.2128468134503798</c:v>
                </c:pt>
                <c:pt idx="369">
                  <c:v>-7.5785073163485892</c:v>
                </c:pt>
                <c:pt idx="370">
                  <c:v>-5.9478547361102958</c:v>
                </c:pt>
                <c:pt idx="371">
                  <c:v>-4.3235461248448086</c:v>
                </c:pt>
                <c:pt idx="372">
                  <c:v>-2.7082109929137084</c:v>
                </c:pt>
                <c:pt idx="373">
                  <c:v>-1.1044278965669869</c:v>
                </c:pt>
                <c:pt idx="374">
                  <c:v>0.48529784224856509</c:v>
                </c:pt>
                <c:pt idx="375">
                  <c:v>2.0585548042668638</c:v>
                </c:pt>
                <c:pt idx="376">
                  <c:v>3.6130441174751984</c:v>
                </c:pt>
                <c:pt idx="377">
                  <c:v>5.1465957479486475</c:v>
                </c:pt>
                <c:pt idx="378">
                  <c:v>6.6571821983297266</c:v>
                </c:pt>
                <c:pt idx="379">
                  <c:v>8.1429294704449688</c:v>
                </c:pt>
                <c:pt idx="380">
                  <c:v>9.6021252421835932</c:v>
                </c:pt>
                <c:pt idx="381">
                  <c:v>11.033224296292914</c:v>
                </c:pt>
                <c:pt idx="382">
                  <c:v>12.434851316343218</c:v>
                </c:pt>
                <c:pt idx="383">
                  <c:v>13.805801230076698</c:v>
                </c:pt>
                <c:pt idx="384">
                  <c:v>15.145037331074436</c:v>
                </c:pt>
                <c:pt idx="385">
                  <c:v>16.451687445604737</c:v>
                </c:pt>
                <c:pt idx="386">
                  <c:v>17.725038433073404</c:v>
                </c:pt>
                <c:pt idx="387">
                  <c:v>18.964529316835133</c:v>
                </c:pt>
                <c:pt idx="388">
                  <c:v>20.169743338927251</c:v>
                </c:pt>
                <c:pt idx="389">
                  <c:v>21.340399219625844</c:v>
                </c:pt>
                <c:pt idx="390">
                  <c:v>22.476341882690843</c:v>
                </c:pt>
                <c:pt idx="391">
                  <c:v>23.577532881943394</c:v>
                </c:pt>
                <c:pt idx="392">
                  <c:v>24.644040736346348</c:v>
                </c:pt>
                <c:pt idx="393">
                  <c:v>25.676031350757981</c:v>
                </c:pt>
                <c:pt idx="394">
                  <c:v>26.673758669457115</c:v>
                </c:pt>
                <c:pt idx="395">
                  <c:v>27.637555680520848</c:v>
                </c:pt>
                <c:pt idx="396">
                  <c:v>28.567825862010881</c:v>
                </c:pt>
                <c:pt idx="397">
                  <c:v>29.465035136250169</c:v>
                </c:pt>
                <c:pt idx="398">
                  <c:v>30.329704376619393</c:v>
                </c:pt>
                <c:pt idx="399">
                  <c:v>31.162402492349592</c:v>
                </c:pt>
                <c:pt idx="400">
                  <c:v>31.963740100796176</c:v>
                </c:pt>
                <c:pt idx="401">
                  <c:v>32.734363783452032</c:v>
                </c:pt>
                <c:pt idx="402">
                  <c:v>33.474950911359535</c:v>
                </c:pt>
                <c:pt idx="403">
                  <c:v>34.186205017301674</c:v>
                </c:pt>
                <c:pt idx="404">
                  <c:v>34.868851685967563</c:v>
                </c:pt>
                <c:pt idx="405">
                  <c:v>35.523634928872085</c:v>
                </c:pt>
                <c:pt idx="406">
                  <c:v>36.151314007924015</c:v>
                </c:pt>
                <c:pt idx="407">
                  <c:v>36.752660669906909</c:v>
                </c:pt>
                <c:pt idx="408">
                  <c:v>37.328456753527043</c:v>
                </c:pt>
                <c:pt idx="409">
                  <c:v>37.879492130896331</c:v>
                </c:pt>
                <c:pt idx="410">
                  <c:v>38.406562946165351</c:v>
                </c:pt>
                <c:pt idx="411">
                  <c:v>38.910470115354251</c:v>
                </c:pt>
                <c:pt idx="412">
                  <c:v>39.392018053104337</c:v>
                </c:pt>
                <c:pt idx="413">
                  <c:v>39.852013594013044</c:v>
                </c:pt>
                <c:pt idx="414">
                  <c:v>40.291265078302679</c:v>
                </c:pt>
                <c:pt idx="415">
                  <c:v>40.710581573748208</c:v>
                </c:pt>
                <c:pt idx="416">
                  <c:v>41.110772208032472</c:v>
                </c:pt>
                <c:pt idx="417">
                  <c:v>41.492645587904235</c:v>
                </c:pt>
                <c:pt idx="418">
                  <c:v>41.857009283722476</c:v>
                </c:pt>
                <c:pt idx="419">
                  <c:v>42.204669360111495</c:v>
                </c:pt>
                <c:pt idx="420">
                  <c:v>42.536429935531324</c:v>
                </c:pt>
                <c:pt idx="421">
                  <c:v>42.853092755580732</c:v>
                </c:pt>
                <c:pt idx="422">
                  <c:v>43.155456766763272</c:v>
                </c:pt>
                <c:pt idx="423">
                  <c:v>43.444317679303779</c:v>
                </c:pt>
                <c:pt idx="424">
                  <c:v>43.720467509347046</c:v>
                </c:pt>
                <c:pt idx="425">
                  <c:v>43.984694092542824</c:v>
                </c:pt>
                <c:pt idx="426">
                  <c:v>44.237780562612215</c:v>
                </c:pt>
                <c:pt idx="427">
                  <c:v>44.480504789972521</c:v>
                </c:pt>
                <c:pt idx="428">
                  <c:v>44.713638776923588</c:v>
                </c:pt>
                <c:pt idx="429">
                  <c:v>44.937948007215148</c:v>
                </c:pt>
                <c:pt idx="430">
                  <c:v>45.154190749047146</c:v>
                </c:pt>
                <c:pt idx="431">
                  <c:v>45.363117311712848</c:v>
                </c:pt>
                <c:pt idx="432">
                  <c:v>45.565469257144187</c:v>
                </c:pt>
                <c:pt idx="433">
                  <c:v>45.761978568589896</c:v>
                </c:pt>
                <c:pt idx="434">
                  <c:v>45.953366779530228</c:v>
                </c:pt>
                <c:pt idx="435">
                  <c:v>46.140344066715535</c:v>
                </c:pt>
                <c:pt idx="436">
                  <c:v>46.323608311899761</c:v>
                </c:pt>
                <c:pt idx="437">
                  <c:v>46.503844137435152</c:v>
                </c:pt>
                <c:pt idx="438">
                  <c:v>46.681721921391436</c:v>
                </c:pt>
                <c:pt idx="439">
                  <c:v>46.85789679826668</c:v>
                </c:pt>
                <c:pt idx="440">
                  <c:v>47.033007651673081</c:v>
                </c:pt>
                <c:pt idx="441">
                  <c:v>47.207676105601202</c:v>
                </c:pt>
                <c:pt idx="442">
                  <c:v>47.382505521008369</c:v>
                </c:pt>
                <c:pt idx="443">
                  <c:v>47.558080004534979</c:v>
                </c:pt>
                <c:pt idx="444">
                  <c:v>47.734963436133313</c:v>
                </c:pt>
                <c:pt idx="445">
                  <c:v>47.913698522305928</c:v>
                </c:pt>
                <c:pt idx="446">
                  <c:v>48.094805881496129</c:v>
                </c:pt>
                <c:pt idx="447">
                  <c:v>48.278783167971199</c:v>
                </c:pt>
                <c:pt idx="448">
                  <c:v>48.466104240271605</c:v>
                </c:pt>
                <c:pt idx="449">
                  <c:v>48.657218379995214</c:v>
                </c:pt>
                <c:pt idx="450">
                  <c:v>48.852549566356778</c:v>
                </c:pt>
                <c:pt idx="451">
                  <c:v>49.052495811574964</c:v>
                </c:pt>
                <c:pt idx="452">
                  <c:v>49.257428561765984</c:v>
                </c:pt>
                <c:pt idx="453">
                  <c:v>49.467692167583074</c:v>
                </c:pt>
                <c:pt idx="454">
                  <c:v>49.683603428442638</c:v>
                </c:pt>
                <c:pt idx="455">
                  <c:v>49.905451213716873</c:v>
                </c:pt>
                <c:pt idx="456">
                  <c:v>50.133496163842644</c:v>
                </c:pt>
                <c:pt idx="457">
                  <c:v>50.367970473847478</c:v>
                </c:pt>
                <c:pt idx="458">
                  <c:v>50.609077761336657</c:v>
                </c:pt>
                <c:pt idx="459">
                  <c:v>50.856993020547606</c:v>
                </c:pt>
                <c:pt idx="460">
                  <c:v>51.111862663617543</c:v>
                </c:pt>
                <c:pt idx="461">
                  <c:v>51.373804649763706</c:v>
                </c:pt>
                <c:pt idx="462">
                  <c:v>51.642908702628674</c:v>
                </c:pt>
                <c:pt idx="463">
                  <c:v>51.919236615585525</c:v>
                </c:pt>
                <c:pt idx="464">
                  <c:v>52.202822644348814</c:v>
                </c:pt>
                <c:pt idx="465">
                  <c:v>52.493673985786238</c:v>
                </c:pt>
                <c:pt idx="466">
                  <c:v>52.791771341365724</c:v>
                </c:pt>
                <c:pt idx="467">
                  <c:v>53.097069563220344</c:v>
                </c:pt>
                <c:pt idx="468">
                  <c:v>53.409498380354599</c:v>
                </c:pt>
                <c:pt idx="469">
                  <c:v>53.728963202063071</c:v>
                </c:pt>
                <c:pt idx="470">
                  <c:v>54.055345995177177</c:v>
                </c:pt>
                <c:pt idx="471">
                  <c:v>54.388506231316114</c:v>
                </c:pt>
                <c:pt idx="472">
                  <c:v>54.728281899872599</c:v>
                </c:pt>
                <c:pt idx="473">
                  <c:v>55.074490582055176</c:v>
                </c:pt>
                <c:pt idx="474">
                  <c:v>55.426930580891671</c:v>
                </c:pt>
                <c:pt idx="475">
                  <c:v>55.785382101729894</c:v>
                </c:pt>
                <c:pt idx="476">
                  <c:v>56.149608477418312</c:v>
                </c:pt>
                <c:pt idx="477">
                  <c:v>56.519357432027981</c:v>
                </c:pt>
                <c:pt idx="478">
                  <c:v>56.89436237671346</c:v>
                </c:pt>
                <c:pt idx="479">
                  <c:v>57.274343731071454</c:v>
                </c:pt>
                <c:pt idx="480">
                  <c:v>57.659010263189593</c:v>
                </c:pt>
                <c:pt idx="481">
                  <c:v>58.048060441439695</c:v>
                </c:pt>
                <c:pt idx="482">
                  <c:v>58.441183791027271</c:v>
                </c:pt>
                <c:pt idx="483">
                  <c:v>58.838062248291131</c:v>
                </c:pt>
                <c:pt idx="484">
                  <c:v>59.238371505822975</c:v>
                </c:pt>
                <c:pt idx="485">
                  <c:v>59.641782341595594</c:v>
                </c:pt>
                <c:pt idx="486">
                  <c:v>60.047961925490981</c:v>
                </c:pt>
                <c:pt idx="487">
                  <c:v>60.456575096863233</c:v>
                </c:pt>
                <c:pt idx="488">
                  <c:v>60.867285607097543</c:v>
                </c:pt>
                <c:pt idx="489">
                  <c:v>61.279757321489384</c:v>
                </c:pt>
                <c:pt idx="490">
                  <c:v>61.693655375193778</c:v>
                </c:pt>
                <c:pt idx="491">
                  <c:v>62.108647278456822</c:v>
                </c:pt>
                <c:pt idx="492">
                  <c:v>62.524403966851075</c:v>
                </c:pt>
                <c:pt idx="493">
                  <c:v>62.940600792769139</c:v>
                </c:pt>
                <c:pt idx="494">
                  <c:v>63.356918454988033</c:v>
                </c:pt>
                <c:pt idx="495">
                  <c:v>63.773043863689168</c:v>
                </c:pt>
                <c:pt idx="496">
                  <c:v>64.188670938902348</c:v>
                </c:pt>
                <c:pt idx="497">
                  <c:v>64.603501340920829</c:v>
                </c:pt>
                <c:pt idx="498">
                  <c:v>65.01724513180055</c:v>
                </c:pt>
                <c:pt idx="499">
                  <c:v>65.429621367619518</c:v>
                </c:pt>
                <c:pt idx="500">
                  <c:v>65.840358621699508</c:v>
                </c:pt>
                <c:pt idx="501">
                  <c:v>66.249195439498806</c:v>
                </c:pt>
                <c:pt idx="502">
                  <c:v>66.655880726358461</c:v>
                </c:pt>
                <c:pt idx="503">
                  <c:v>67.060174069710783</c:v>
                </c:pt>
                <c:pt idx="504">
                  <c:v>67.46184599776042</c:v>
                </c:pt>
                <c:pt idx="505">
                  <c:v>67.860678176987989</c:v>
                </c:pt>
                <c:pt idx="506">
                  <c:v>68.256463551137827</c:v>
                </c:pt>
                <c:pt idx="507">
                  <c:v>68.6490064246034</c:v>
                </c:pt>
                <c:pt idx="508">
                  <c:v>69.038122493339927</c:v>
                </c:pt>
                <c:pt idx="509">
                  <c:v>69.423638826597468</c:v>
                </c:pt>
                <c:pt idx="510">
                  <c:v>69.805393802895111</c:v>
                </c:pt>
                <c:pt idx="511">
                  <c:v>70.183237003735456</c:v>
                </c:pt>
                <c:pt idx="512">
                  <c:v>70.557029068600627</c:v>
                </c:pt>
                <c:pt idx="513">
                  <c:v>70.926641514781494</c:v>
                </c:pt>
                <c:pt idx="514">
                  <c:v>71.291956525558845</c:v>
                </c:pt>
                <c:pt idx="515">
                  <c:v>71.652866710203071</c:v>
                </c:pt>
                <c:pt idx="516">
                  <c:v>72.00927483917161</c:v>
                </c:pt>
                <c:pt idx="517">
                  <c:v>72.361093557776627</c:v>
                </c:pt>
                <c:pt idx="518">
                  <c:v>72.708245081475042</c:v>
                </c:pt>
                <c:pt idx="519">
                  <c:v>73.050660875778533</c:v>
                </c:pt>
                <c:pt idx="520">
                  <c:v>73.388281323636875</c:v>
                </c:pt>
                <c:pt idx="521">
                  <c:v>73.721055382976175</c:v>
                </c:pt>
                <c:pt idx="522">
                  <c:v>74.048940236899625</c:v>
                </c:pt>
                <c:pt idx="523">
                  <c:v>74.371900938885872</c:v>
                </c:pt>
                <c:pt idx="524">
                  <c:v>74.689910055136423</c:v>
                </c:pt>
                <c:pt idx="525">
                  <c:v>75.002947306043552</c:v>
                </c:pt>
                <c:pt idx="526">
                  <c:v>75.310999208576916</c:v>
                </c:pt>
                <c:pt idx="527">
                  <c:v>75.614058721207556</c:v>
                </c:pt>
                <c:pt idx="528">
                  <c:v>75.912124892822362</c:v>
                </c:pt>
                <c:pt idx="529">
                  <c:v>76.205202516919613</c:v>
                </c:pt>
                <c:pt idx="530">
                  <c:v>76.49330179221478</c:v>
                </c:pt>
                <c:pt idx="531">
                  <c:v>76.776437990644624</c:v>
                </c:pt>
                <c:pt idx="532">
                  <c:v>77.054631133612403</c:v>
                </c:pt>
                <c:pt idx="533">
                  <c:v>77.327905677188923</c:v>
                </c:pt>
                <c:pt idx="534">
                  <c:v>77.596290206858086</c:v>
                </c:pt>
                <c:pt idx="535">
                  <c:v>77.859817142287838</c:v>
                </c:pt>
                <c:pt idx="536">
                  <c:v>78.118522452495398</c:v>
                </c:pt>
                <c:pt idx="537">
                  <c:v>78.372445381688593</c:v>
                </c:pt>
                <c:pt idx="538">
                  <c:v>78.621628185970948</c:v>
                </c:pt>
                <c:pt idx="539">
                  <c:v>78.866115881023575</c:v>
                </c:pt>
                <c:pt idx="540">
                  <c:v>79.105956000804198</c:v>
                </c:pt>
                <c:pt idx="541">
                  <c:v>79.341198367244743</c:v>
                </c:pt>
              </c:numCache>
            </c:numRef>
          </c:yVal>
          <c:smooth val="1"/>
          <c:extLst>
            <c:ext xmlns:c16="http://schemas.microsoft.com/office/drawing/2014/chart" uri="{C3380CC4-5D6E-409C-BE32-E72D297353CC}">
              <c16:uniqueId val="{00000001-B561-4C80-890B-643E0BF90D63}"/>
            </c:ext>
          </c:extLst>
        </c:ser>
        <c:dLbls>
          <c:showLegendKey val="0"/>
          <c:showVal val="0"/>
          <c:showCatName val="0"/>
          <c:showSerName val="0"/>
          <c:showPercent val="0"/>
          <c:showBubbleSize val="0"/>
        </c:dLbls>
        <c:axId val="162527872"/>
        <c:axId val="162526336"/>
      </c:scatterChart>
      <c:valAx>
        <c:axId val="162497664"/>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2499584"/>
        <c:crosses val="autoZero"/>
        <c:crossBetween val="midCat"/>
      </c:valAx>
      <c:valAx>
        <c:axId val="162499584"/>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162497664"/>
        <c:crosses val="autoZero"/>
        <c:crossBetween val="midCat"/>
        <c:majorUnit val="20"/>
        <c:minorUnit val="10"/>
      </c:valAx>
      <c:valAx>
        <c:axId val="162526336"/>
        <c:scaling>
          <c:orientation val="minMax"/>
          <c:max val="180"/>
          <c:min val="-180"/>
        </c:scaling>
        <c:delete val="0"/>
        <c:axPos val="r"/>
        <c:numFmt formatCode="General" sourceLinked="1"/>
        <c:majorTickMark val="out"/>
        <c:minorTickMark val="none"/>
        <c:tickLblPos val="nextTo"/>
        <c:crossAx val="162527872"/>
        <c:crosses val="max"/>
        <c:crossBetween val="midCat"/>
        <c:majorUnit val="90"/>
        <c:minorUnit val="45"/>
      </c:valAx>
      <c:valAx>
        <c:axId val="162527872"/>
        <c:scaling>
          <c:logBase val="10"/>
          <c:orientation val="minMax"/>
        </c:scaling>
        <c:delete val="1"/>
        <c:axPos val="b"/>
        <c:numFmt formatCode="0.00" sourceLinked="1"/>
        <c:majorTickMark val="out"/>
        <c:minorTickMark val="none"/>
        <c:tickLblPos val="nextTo"/>
        <c:crossAx val="162526336"/>
        <c:crosses val="autoZero"/>
        <c:crossBetween val="midCat"/>
      </c:valAx>
    </c:plotArea>
    <c:legend>
      <c:legendPos val="r"/>
      <c:layout>
        <c:manualLayout>
          <c:xMode val="edge"/>
          <c:yMode val="edge"/>
          <c:x val="0.79880558209512509"/>
          <c:y val="0.14321997959862004"/>
          <c:w val="0.13459449276057311"/>
          <c:h val="0.10691609861199437"/>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Error</a:t>
            </a:r>
            <a:r>
              <a:rPr lang="en-US" baseline="0"/>
              <a:t> Amplifier Transfer</a:t>
            </a:r>
          </a:p>
        </c:rich>
      </c:tx>
      <c:overlay val="0"/>
    </c:title>
    <c:autoTitleDeleted val="0"/>
    <c:plotArea>
      <c:layout/>
      <c:scatterChart>
        <c:scatterStyle val="smoothMarker"/>
        <c:varyColors val="0"/>
        <c:ser>
          <c:idx val="0"/>
          <c:order val="0"/>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Loop_Modeling!$AQ$19:$AQ$560</c:f>
              <c:numCache>
                <c:formatCode>General</c:formatCode>
                <c:ptCount val="542"/>
                <c:pt idx="0">
                  <c:v>32.515979703533787</c:v>
                </c:pt>
                <c:pt idx="1">
                  <c:v>32.394182979227153</c:v>
                </c:pt>
                <c:pt idx="2">
                  <c:v>32.274590021913646</c:v>
                </c:pt>
                <c:pt idx="3">
                  <c:v>32.157220800749016</c:v>
                </c:pt>
                <c:pt idx="4">
                  <c:v>32.042093169662721</c:v>
                </c:pt>
                <c:pt idx="5">
                  <c:v>31.929222795147982</c:v>
                </c:pt>
                <c:pt idx="6">
                  <c:v>31.818623092174768</c:v>
                </c:pt>
                <c:pt idx="7">
                  <c:v>31.710305168775431</c:v>
                </c:pt>
                <c:pt idx="8">
                  <c:v>31.604277779784407</c:v>
                </c:pt>
                <c:pt idx="9">
                  <c:v>31.500547290138016</c:v>
                </c:pt>
                <c:pt idx="10">
                  <c:v>31.399117648060336</c:v>
                </c:pt>
                <c:pt idx="11">
                  <c:v>31.299990368373365</c:v>
                </c:pt>
                <c:pt idx="12">
                  <c:v>31.203164526082439</c:v>
                </c:pt>
                <c:pt idx="13">
                  <c:v>31.108636760293152</c:v>
                </c:pt>
                <c:pt idx="14">
                  <c:v>31.016401288425854</c:v>
                </c:pt>
                <c:pt idx="15">
                  <c:v>30.926449930599023</c:v>
                </c:pt>
                <c:pt idx="16">
                  <c:v>30.838772143964697</c:v>
                </c:pt>
                <c:pt idx="17">
                  <c:v>30.753355066690077</c:v>
                </c:pt>
                <c:pt idx="18">
                  <c:v>30.670183571199139</c:v>
                </c:pt>
                <c:pt idx="19">
                  <c:v>30.589240326209097</c:v>
                </c:pt>
                <c:pt idx="20">
                  <c:v>30.510505867029323</c:v>
                </c:pt>
                <c:pt idx="21">
                  <c:v>30.433958673526238</c:v>
                </c:pt>
                <c:pt idx="22">
                  <c:v>30.359575255105771</c:v>
                </c:pt>
                <c:pt idx="23">
                  <c:v>30.287330242019639</c:v>
                </c:pt>
                <c:pt idx="24">
                  <c:v>30.217196482267017</c:v>
                </c:pt>
                <c:pt idx="25">
                  <c:v>30.14914514333821</c:v>
                </c:pt>
                <c:pt idx="26">
                  <c:v>30.083145818029848</c:v>
                </c:pt>
                <c:pt idx="27">
                  <c:v>30.019166633556004</c:v>
                </c:pt>
                <c:pt idx="28">
                  <c:v>29.95717436318186</c:v>
                </c:pt>
                <c:pt idx="29">
                  <c:v>29.897134539616886</c:v>
                </c:pt>
                <c:pt idx="30">
                  <c:v>29.839011569424674</c:v>
                </c:pt>
                <c:pt idx="31">
                  <c:v>29.782768847732434</c:v>
                </c:pt>
                <c:pt idx="32">
                  <c:v>29.728368872555265</c:v>
                </c:pt>
                <c:pt idx="33">
                  <c:v>29.675773358090307</c:v>
                </c:pt>
                <c:pt idx="34">
                  <c:v>29.624943346376412</c:v>
                </c:pt>
                <c:pt idx="35">
                  <c:v>29.575839316763975</c:v>
                </c:pt>
                <c:pt idx="36">
                  <c:v>29.528421292688023</c:v>
                </c:pt>
                <c:pt idx="37">
                  <c:v>29.482648945288837</c:v>
                </c:pt>
                <c:pt idx="38">
                  <c:v>29.438481693478387</c:v>
                </c:pt>
                <c:pt idx="39">
                  <c:v>29.395878800102668</c:v>
                </c:pt>
                <c:pt idx="40">
                  <c:v>29.354799463903213</c:v>
                </c:pt>
                <c:pt idx="41">
                  <c:v>29.31520290703358</c:v>
                </c:pt>
                <c:pt idx="42">
                  <c:v>29.27704845793485</c:v>
                </c:pt>
                <c:pt idx="43">
                  <c:v>29.240295629423578</c:v>
                </c:pt>
                <c:pt idx="44">
                  <c:v>29.204904191891607</c:v>
                </c:pt>
                <c:pt idx="45">
                  <c:v>29.170834241558406</c:v>
                </c:pt>
                <c:pt idx="46">
                  <c:v>29.138046263757104</c:v>
                </c:pt>
                <c:pt idx="47">
                  <c:v>29.106501191271377</c:v>
                </c:pt>
                <c:pt idx="48">
                  <c:v>29.076160457774915</c:v>
                </c:pt>
                <c:pt idx="49">
                  <c:v>29.046986046451163</c:v>
                </c:pt>
                <c:pt idx="50">
                  <c:v>29.018940533902118</c:v>
                </c:pt>
                <c:pt idx="51">
                  <c:v>28.991987129472875</c:v>
                </c:pt>
                <c:pt idx="52">
                  <c:v>28.966089710141581</c:v>
                </c:pt>
                <c:pt idx="53">
                  <c:v>28.941212851139806</c:v>
                </c:pt>
                <c:pt idx="54">
                  <c:v>28.917321852480473</c:v>
                </c:pt>
                <c:pt idx="55">
                  <c:v>28.894382761582776</c:v>
                </c:pt>
                <c:pt idx="56">
                  <c:v>28.872362392190418</c:v>
                </c:pt>
                <c:pt idx="57">
                  <c:v>28.851228339786434</c:v>
                </c:pt>
                <c:pt idx="58">
                  <c:v>28.830948993708063</c:v>
                </c:pt>
                <c:pt idx="59">
                  <c:v>28.811493546170354</c:v>
                </c:pt>
                <c:pt idx="60">
                  <c:v>28.792831998404438</c:v>
                </c:pt>
                <c:pt idx="61">
                  <c:v>28.774935164114062</c:v>
                </c:pt>
                <c:pt idx="62">
                  <c:v>28.75777467045253</c:v>
                </c:pt>
                <c:pt idx="63">
                  <c:v>28.741322956716498</c:v>
                </c:pt>
                <c:pt idx="64">
                  <c:v>28.725553270946801</c:v>
                </c:pt>
                <c:pt idx="65">
                  <c:v>28.710439664621493</c:v>
                </c:pt>
                <c:pt idx="66">
                  <c:v>28.695956985618981</c:v>
                </c:pt>
                <c:pt idx="67">
                  <c:v>28.682080869621146</c:v>
                </c:pt>
                <c:pt idx="68">
                  <c:v>28.668787730118375</c:v>
                </c:pt>
                <c:pt idx="69">
                  <c:v>28.656054747170899</c:v>
                </c:pt>
                <c:pt idx="70">
                  <c:v>28.643859855072044</c:v>
                </c:pt>
                <c:pt idx="71">
                  <c:v>28.63218172904994</c:v>
                </c:pt>
                <c:pt idx="72">
                  <c:v>28.620999771137519</c:v>
                </c:pt>
                <c:pt idx="73">
                  <c:v>28.610294095330634</c:v>
                </c:pt>
                <c:pt idx="74">
                  <c:v>28.600045512145662</c:v>
                </c:pt>
                <c:pt idx="75">
                  <c:v>28.590235512682575</c:v>
                </c:pt>
                <c:pt idx="76">
                  <c:v>28.580846252288218</c:v>
                </c:pt>
                <c:pt idx="77">
                  <c:v>28.571860533909049</c:v>
                </c:pt>
                <c:pt idx="78">
                  <c:v>28.563261791215638</c:v>
                </c:pt>
                <c:pt idx="79">
                  <c:v>28.555034071572088</c:v>
                </c:pt>
                <c:pt idx="80">
                  <c:v>28.547162018920005</c:v>
                </c:pt>
                <c:pt idx="81">
                  <c:v>28.539630856637253</c:v>
                </c:pt>
                <c:pt idx="82">
                  <c:v>28.532426370428215</c:v>
                </c:pt>
                <c:pt idx="83">
                  <c:v>28.525534891295635</c:v>
                </c:pt>
                <c:pt idx="84">
                  <c:v>28.518943278638584</c:v>
                </c:pt>
                <c:pt idx="85">
                  <c:v>28.512638903516525</c:v>
                </c:pt>
                <c:pt idx="86">
                  <c:v>28.506609632115602</c:v>
                </c:pt>
                <c:pt idx="87">
                  <c:v>28.500843809447257</c:v>
                </c:pt>
                <c:pt idx="88">
                  <c:v>28.495330243306931</c:v>
                </c:pt>
                <c:pt idx="89">
                  <c:v>28.490058188516226</c:v>
                </c:pt>
                <c:pt idx="90">
                  <c:v>28.485017331468413</c:v>
                </c:pt>
                <c:pt idx="91">
                  <c:v>28.480197774994398</c:v>
                </c:pt>
                <c:pt idx="92">
                  <c:v>28.475590023563218</c:v>
                </c:pt>
                <c:pt idx="93">
                  <c:v>28.47118496882824</c:v>
                </c:pt>
                <c:pt idx="94">
                  <c:v>28.466973875528868</c:v>
                </c:pt>
                <c:pt idx="95">
                  <c:v>28.462948367753729</c:v>
                </c:pt>
                <c:pt idx="96">
                  <c:v>28.459100415570955</c:v>
                </c:pt>
                <c:pt idx="97">
                  <c:v>28.45542232202871</c:v>
                </c:pt>
                <c:pt idx="98">
                  <c:v>28.451906710526988</c:v>
                </c:pt>
                <c:pt idx="99">
                  <c:v>28.448546512561869</c:v>
                </c:pt>
                <c:pt idx="100">
                  <c:v>28.445334955839456</c:v>
                </c:pt>
                <c:pt idx="101">
                  <c:v>28.44226555275953</c:v>
                </c:pt>
                <c:pt idx="102">
                  <c:v>28.439332089263317</c:v>
                </c:pt>
                <c:pt idx="103">
                  <c:v>28.436528614042736</c:v>
                </c:pt>
                <c:pt idx="104">
                  <c:v>28.433849428105997</c:v>
                </c:pt>
                <c:pt idx="105">
                  <c:v>28.431289074693407</c:v>
                </c:pt>
                <c:pt idx="106">
                  <c:v>28.428842329537616</c:v>
                </c:pt>
                <c:pt idx="107">
                  <c:v>28.426504191462012</c:v>
                </c:pt>
                <c:pt idx="108">
                  <c:v>28.424269873309591</c:v>
                </c:pt>
                <c:pt idx="109">
                  <c:v>28.422134793195202</c:v>
                </c:pt>
                <c:pt idx="110">
                  <c:v>28.420094566073594</c:v>
                </c:pt>
                <c:pt idx="111">
                  <c:v>28.418144995615307</c:v>
                </c:pt>
                <c:pt idx="112">
                  <c:v>28.416282066382674</c:v>
                </c:pt>
                <c:pt idx="113">
                  <c:v>28.414501936296585</c:v>
                </c:pt>
                <c:pt idx="114">
                  <c:v>28.412800929388009</c:v>
                </c:pt>
                <c:pt idx="115">
                  <c:v>28.411175528823801</c:v>
                </c:pt>
                <c:pt idx="116">
                  <c:v>28.409622370199422</c:v>
                </c:pt>
                <c:pt idx="117">
                  <c:v>28.408138235091126</c:v>
                </c:pt>
                <c:pt idx="118">
                  <c:v>28.406720044857611</c:v>
                </c:pt>
                <c:pt idx="119">
                  <c:v>28.405364854684581</c:v>
                </c:pt>
                <c:pt idx="120">
                  <c:v>28.40406984786398</c:v>
                </c:pt>
                <c:pt idx="121">
                  <c:v>28.402832330298871</c:v>
                </c:pt>
                <c:pt idx="122">
                  <c:v>28.401649725227745</c:v>
                </c:pt>
                <c:pt idx="123">
                  <c:v>28.400519568159233</c:v>
                </c:pt>
                <c:pt idx="124">
                  <c:v>28.399439502010488</c:v>
                </c:pt>
                <c:pt idx="125">
                  <c:v>28.398407272442164</c:v>
                </c:pt>
                <c:pt idx="126">
                  <c:v>28.3974207233817</c:v>
                </c:pt>
                <c:pt idx="127">
                  <c:v>28.396477792729176</c:v>
                </c:pt>
                <c:pt idx="128">
                  <c:v>28.395576508237355</c:v>
                </c:pt>
                <c:pt idx="129">
                  <c:v>28.394714983562093</c:v>
                </c:pt>
                <c:pt idx="130">
                  <c:v>28.393891414472424</c:v>
                </c:pt>
                <c:pt idx="131">
                  <c:v>28.393104075218186</c:v>
                </c:pt>
                <c:pt idx="132">
                  <c:v>28.392351315046046</c:v>
                </c:pt>
                <c:pt idx="133">
                  <c:v>28.391631554860538</c:v>
                </c:pt>
                <c:pt idx="134">
                  <c:v>28.390943284021319</c:v>
                </c:pt>
                <c:pt idx="135">
                  <c:v>28.390285057274156</c:v>
                </c:pt>
                <c:pt idx="136">
                  <c:v>28.389655491808455</c:v>
                </c:pt>
                <c:pt idx="137">
                  <c:v>28.389053264436455</c:v>
                </c:pt>
                <c:pt idx="138">
                  <c:v>28.388477108888516</c:v>
                </c:pt>
                <c:pt idx="139">
                  <c:v>28.387925813221809</c:v>
                </c:pt>
                <c:pt idx="140">
                  <c:v>28.387398217334084</c:v>
                </c:pt>
                <c:pt idx="141">
                  <c:v>28.386893210581622</c:v>
                </c:pt>
                <c:pt idx="142">
                  <c:v>28.386409729494204</c:v>
                </c:pt>
                <c:pt idx="143">
                  <c:v>28.385946755584452</c:v>
                </c:pt>
                <c:pt idx="144">
                  <c:v>28.385503313246701</c:v>
                </c:pt>
                <c:pt idx="145">
                  <c:v>28.385078467741906</c:v>
                </c:pt>
                <c:pt idx="146">
                  <c:v>28.384671323264186</c:v>
                </c:pt>
                <c:pt idx="147">
                  <c:v>28.384281021085837</c:v>
                </c:pt>
                <c:pt idx="148">
                  <c:v>28.383906737776989</c:v>
                </c:pt>
                <c:pt idx="149">
                  <c:v>28.383547683496595</c:v>
                </c:pt>
                <c:pt idx="150">
                  <c:v>28.383203100351473</c:v>
                </c:pt>
                <c:pt idx="151">
                  <c:v>28.382872260819777</c:v>
                </c:pt>
                <c:pt idx="152">
                  <c:v>28.382554466236588</c:v>
                </c:pt>
                <c:pt idx="153">
                  <c:v>28.382249045337996</c:v>
                </c:pt>
                <c:pt idx="154">
                  <c:v>28.381955352861141</c:v>
                </c:pt>
                <c:pt idx="155">
                  <c:v>28.381672768197301</c:v>
                </c:pt>
                <c:pt idx="156">
                  <c:v>28.381400694095056</c:v>
                </c:pt>
                <c:pt idx="157">
                  <c:v>28.38113855541215</c:v>
                </c:pt>
                <c:pt idx="158">
                  <c:v>28.380885797911755</c:v>
                </c:pt>
                <c:pt idx="159">
                  <c:v>28.380641887102058</c:v>
                </c:pt>
                <c:pt idx="160">
                  <c:v>28.380406307116608</c:v>
                </c:pt>
                <c:pt idx="161">
                  <c:v>28.380178559632633</c:v>
                </c:pt>
                <c:pt idx="162">
                  <c:v>28.379958162825488</c:v>
                </c:pt>
                <c:pt idx="163">
                  <c:v>28.379744650357704</c:v>
                </c:pt>
                <c:pt idx="164">
                  <c:v>28.379537570399407</c:v>
                </c:pt>
                <c:pt idx="165">
                  <c:v>28.379336484678635</c:v>
                </c:pt>
                <c:pt idx="166">
                  <c:v>28.379140967560296</c:v>
                </c:pt>
                <c:pt idx="167">
                  <c:v>28.378950605150749</c:v>
                </c:pt>
                <c:pt idx="168">
                  <c:v>28.378764994426817</c:v>
                </c:pt>
                <c:pt idx="169">
                  <c:v>28.37858374238753</c:v>
                </c:pt>
                <c:pt idx="170">
                  <c:v>28.37840646522627</c:v>
                </c:pt>
                <c:pt idx="171">
                  <c:v>28.378232787522432</c:v>
                </c:pt>
                <c:pt idx="172">
                  <c:v>28.37806234145004</c:v>
                </c:pt>
                <c:pt idx="173">
                  <c:v>28.377894766002385</c:v>
                </c:pt>
                <c:pt idx="174">
                  <c:v>28.377729706231079</c:v>
                </c:pt>
                <c:pt idx="175">
                  <c:v>28.377566812497047</c:v>
                </c:pt>
                <c:pt idx="176">
                  <c:v>28.377405739732939</c:v>
                </c:pt>
                <c:pt idx="177">
                  <c:v>28.377246146715351</c:v>
                </c:pt>
                <c:pt idx="178">
                  <c:v>28.377087695344425</c:v>
                </c:pt>
                <c:pt idx="179">
                  <c:v>28.376930049930358</c:v>
                </c:pt>
                <c:pt idx="180">
                  <c:v>28.376772876484658</c:v>
                </c:pt>
                <c:pt idx="181">
                  <c:v>28.376615842015475</c:v>
                </c:pt>
                <c:pt idx="182">
                  <c:v>28.376458613824106</c:v>
                </c:pt>
                <c:pt idx="183">
                  <c:v>28.376300858802939</c:v>
                </c:pt>
                <c:pt idx="184">
                  <c:v>28.376142242732275</c:v>
                </c:pt>
                <c:pt idx="185">
                  <c:v>28.375982429574517</c:v>
                </c:pt>
                <c:pt idx="186">
                  <c:v>28.375821080765128</c:v>
                </c:pt>
                <c:pt idx="187">
                  <c:v>28.37565785449803</c:v>
                </c:pt>
                <c:pt idx="188">
                  <c:v>28.375492405003911</c:v>
                </c:pt>
                <c:pt idx="189">
                  <c:v>28.375324381821319</c:v>
                </c:pt>
                <c:pt idx="190">
                  <c:v>28.375153429056713</c:v>
                </c:pt>
                <c:pt idx="191">
                  <c:v>28.374979184634253</c:v>
                </c:pt>
                <c:pt idx="192">
                  <c:v>28.374801279532139</c:v>
                </c:pt>
                <c:pt idx="193">
                  <c:v>28.374619337004923</c:v>
                </c:pt>
                <c:pt idx="194">
                  <c:v>28.374432971789322</c:v>
                </c:pt>
                <c:pt idx="195">
                  <c:v>28.374241789292949</c:v>
                </c:pt>
                <c:pt idx="196">
                  <c:v>28.374045384763029</c:v>
                </c:pt>
                <c:pt idx="197">
                  <c:v>28.373843342434753</c:v>
                </c:pt>
                <c:pt idx="198">
                  <c:v>28.373635234656088</c:v>
                </c:pt>
                <c:pt idx="199">
                  <c:v>28.373420620988675</c:v>
                </c:pt>
                <c:pt idx="200">
                  <c:v>28.373199047281709</c:v>
                </c:pt>
                <c:pt idx="201">
                  <c:v>28.372970044717896</c:v>
                </c:pt>
                <c:pt idx="202">
                  <c:v>28.372733128828745</c:v>
                </c:pt>
                <c:pt idx="203">
                  <c:v>28.372487798477867</c:v>
                </c:pt>
                <c:pt idx="204">
                  <c:v>28.372233534809897</c:v>
                </c:pt>
                <c:pt idx="205">
                  <c:v>28.371969800162489</c:v>
                </c:pt>
                <c:pt idx="206">
                  <c:v>28.371696036940335</c:v>
                </c:pt>
                <c:pt idx="207">
                  <c:v>28.37141166644755</c:v>
                </c:pt>
                <c:pt idx="208">
                  <c:v>28.371116087676981</c:v>
                </c:pt>
                <c:pt idx="209">
                  <c:v>28.370808676054242</c:v>
                </c:pt>
                <c:pt idx="210">
                  <c:v>28.370488782132568</c:v>
                </c:pt>
                <c:pt idx="211">
                  <c:v>28.37015573023773</c:v>
                </c:pt>
                <c:pt idx="212">
                  <c:v>28.369808817058807</c:v>
                </c:pt>
                <c:pt idx="213">
                  <c:v>28.369447310182832</c:v>
                </c:pt>
                <c:pt idx="214">
                  <c:v>28.369070446570458</c:v>
                </c:pt>
                <c:pt idx="215">
                  <c:v>28.368677430969186</c:v>
                </c:pt>
                <c:pt idx="216">
                  <c:v>28.368267434261028</c:v>
                </c:pt>
                <c:pt idx="217">
                  <c:v>28.367839591742609</c:v>
                </c:pt>
                <c:pt idx="218">
                  <c:v>28.367393001332111</c:v>
                </c:pt>
                <c:pt idx="219">
                  <c:v>28.366926721701972</c:v>
                </c:pt>
                <c:pt idx="220">
                  <c:v>28.366439770332306</c:v>
                </c:pt>
                <c:pt idx="221">
                  <c:v>28.3659311214818</c:v>
                </c:pt>
                <c:pt idx="222">
                  <c:v>28.365399704072182</c:v>
                </c:pt>
                <c:pt idx="223">
                  <c:v>28.364844399482251</c:v>
                </c:pt>
                <c:pt idx="224">
                  <c:v>28.364264039247328</c:v>
                </c:pt>
                <c:pt idx="225">
                  <c:v>28.363657402659971</c:v>
                </c:pt>
                <c:pt idx="226">
                  <c:v>28.363023214267699</c:v>
                </c:pt>
                <c:pt idx="227">
                  <c:v>28.36236014126214</c:v>
                </c:pt>
                <c:pt idx="228">
                  <c:v>28.36166679075626</c:v>
                </c:pt>
                <c:pt idx="229">
                  <c:v>28.36094170694405</c:v>
                </c:pt>
                <c:pt idx="230">
                  <c:v>28.360183368137267</c:v>
                </c:pt>
                <c:pt idx="231">
                  <c:v>28.359390183674684</c:v>
                </c:pt>
                <c:pt idx="232">
                  <c:v>28.358560490697489</c:v>
                </c:pt>
                <c:pt idx="233">
                  <c:v>28.357692550787238</c:v>
                </c:pt>
                <c:pt idx="234">
                  <c:v>28.356784546457167</c:v>
                </c:pt>
                <c:pt idx="235">
                  <c:v>28.355834577494619</c:v>
                </c:pt>
                <c:pt idx="236">
                  <c:v>28.354840657145836</c:v>
                </c:pt>
                <c:pt idx="237">
                  <c:v>28.353800708137772</c:v>
                </c:pt>
                <c:pt idx="238">
                  <c:v>28.352712558530754</c:v>
                </c:pt>
                <c:pt idx="239">
                  <c:v>28.351573937394402</c:v>
                </c:pt>
                <c:pt idx="240">
                  <c:v>28.350382470300616</c:v>
                </c:pt>
                <c:pt idx="241">
                  <c:v>28.349135674626453</c:v>
                </c:pt>
                <c:pt idx="242">
                  <c:v>28.347830954659841</c:v>
                </c:pt>
                <c:pt idx="243">
                  <c:v>28.346465596499858</c:v>
                </c:pt>
                <c:pt idx="244">
                  <c:v>28.345036762745593</c:v>
                </c:pt>
                <c:pt idx="245">
                  <c:v>28.343541486964678</c:v>
                </c:pt>
                <c:pt idx="246">
                  <c:v>28.341976667934226</c:v>
                </c:pt>
                <c:pt idx="247">
                  <c:v>28.340339063645708</c:v>
                </c:pt>
                <c:pt idx="248">
                  <c:v>28.338625285066769</c:v>
                </c:pt>
                <c:pt idx="249">
                  <c:v>28.336831789650763</c:v>
                </c:pt>
                <c:pt idx="250">
                  <c:v>28.334954874586359</c:v>
                </c:pt>
                <c:pt idx="251">
                  <c:v>28.332990669779001</c:v>
                </c:pt>
                <c:pt idx="252">
                  <c:v>28.330935130555336</c:v>
                </c:pt>
                <c:pt idx="253">
                  <c:v>28.328784030083682</c:v>
                </c:pt>
                <c:pt idx="254">
                  <c:v>28.326532951500646</c:v>
                </c:pt>
                <c:pt idx="255">
                  <c:v>28.324177279737253</c:v>
                </c:pt>
                <c:pt idx="256">
                  <c:v>28.321712193035037</c:v>
                </c:pt>
                <c:pt idx="257">
                  <c:v>28.31913265414617</c:v>
                </c:pt>
                <c:pt idx="258">
                  <c:v>28.31643340120829</c:v>
                </c:pt>
                <c:pt idx="259">
                  <c:v>28.313608938287345</c:v>
                </c:pt>
                <c:pt idx="260">
                  <c:v>28.310653525582484</c:v>
                </c:pt>
                <c:pt idx="261">
                  <c:v>28.307561169283737</c:v>
                </c:pt>
                <c:pt idx="262">
                  <c:v>28.304325611079744</c:v>
                </c:pt>
                <c:pt idx="263">
                  <c:v>28.300940317307965</c:v>
                </c:pt>
                <c:pt idx="264">
                  <c:v>28.297398467742738</c:v>
                </c:pt>
                <c:pt idx="265">
                  <c:v>28.29369294401808</c:v>
                </c:pt>
                <c:pt idx="266">
                  <c:v>28.289816317681211</c:v>
                </c:pt>
                <c:pt idx="267">
                  <c:v>28.285760837875369</c:v>
                </c:pt>
                <c:pt idx="268">
                  <c:v>28.281518418650702</c:v>
                </c:pt>
                <c:pt idx="269">
                  <c:v>28.277080625903572</c:v>
                </c:pt>
                <c:pt idx="270">
                  <c:v>28.272438663946012</c:v>
                </c:pt>
                <c:pt idx="271">
                  <c:v>28.267583361709697</c:v>
                </c:pt>
                <c:pt idx="272">
                  <c:v>28.262505158587651</c:v>
                </c:pt>
                <c:pt idx="273">
                  <c:v>28.257194089923789</c:v>
                </c:pt>
                <c:pt idx="274">
                  <c:v>28.251639772156977</c:v>
                </c:pt>
                <c:pt idx="275">
                  <c:v>28.245831387633508</c:v>
                </c:pt>
                <c:pt idx="276">
                  <c:v>28.239757669101397</c:v>
                </c:pt>
                <c:pt idx="277">
                  <c:v>28.233406883904159</c:v>
                </c:pt>
                <c:pt idx="278">
                  <c:v>28.226766817895435</c:v>
                </c:pt>
                <c:pt idx="279">
                  <c:v>28.219824759097293</c:v>
                </c:pt>
                <c:pt idx="280">
                  <c:v>28.212567481130812</c:v>
                </c:pt>
                <c:pt idx="281">
                  <c:v>28.204981226450485</c:v>
                </c:pt>
                <c:pt idx="282">
                  <c:v>28.197051689418458</c:v>
                </c:pt>
                <c:pt idx="283">
                  <c:v>28.18876399925972</c:v>
                </c:pt>
                <c:pt idx="284">
                  <c:v>28.180102702943554</c:v>
                </c:pt>
                <c:pt idx="285">
                  <c:v>28.171051748042689</c:v>
                </c:pt>
                <c:pt idx="286">
                  <c:v>28.161594465626571</c:v>
                </c:pt>
                <c:pt idx="287">
                  <c:v>28.151713553251771</c:v>
                </c:pt>
                <c:pt idx="288">
                  <c:v>28.141391058118451</c:v>
                </c:pt>
                <c:pt idx="289">
                  <c:v>28.130608360468543</c:v>
                </c:pt>
                <c:pt idx="290">
                  <c:v>28.119346157308662</c:v>
                </c:pt>
                <c:pt idx="291">
                  <c:v>28.107584446547214</c:v>
                </c:pt>
                <c:pt idx="292">
                  <c:v>28.095302511644064</c:v>
                </c:pt>
                <c:pt idx="293">
                  <c:v>28.082478906877451</c:v>
                </c:pt>
                <c:pt idx="294">
                  <c:v>28.069091443342366</c:v>
                </c:pt>
                <c:pt idx="295">
                  <c:v>28.055117175801321</c:v>
                </c:pt>
                <c:pt idx="296">
                  <c:v>28.040532390518983</c:v>
                </c:pt>
                <c:pt idx="297">
                  <c:v>28.025312594217372</c:v>
                </c:pt>
                <c:pt idx="298">
                  <c:v>28.009432504300527</c:v>
                </c:pt>
                <c:pt idx="299">
                  <c:v>27.992866040502644</c:v>
                </c:pt>
                <c:pt idx="300">
                  <c:v>27.97558631812403</c:v>
                </c:pt>
                <c:pt idx="301">
                  <c:v>27.957565643025646</c:v>
                </c:pt>
                <c:pt idx="302">
                  <c:v>27.938775508561417</c:v>
                </c:pt>
                <c:pt idx="303">
                  <c:v>27.919186594634287</c:v>
                </c:pt>
                <c:pt idx="304">
                  <c:v>27.898768769067459</c:v>
                </c:pt>
                <c:pt idx="305">
                  <c:v>27.87749109148821</c:v>
                </c:pt>
                <c:pt idx="306">
                  <c:v>27.855321819926999</c:v>
                </c:pt>
                <c:pt idx="307">
                  <c:v>27.832228420334928</c:v>
                </c:pt>
                <c:pt idx="308">
                  <c:v>27.808177579228001</c:v>
                </c:pt>
                <c:pt idx="309">
                  <c:v>27.783135219663585</c:v>
                </c:pt>
                <c:pt idx="310">
                  <c:v>27.757066520755139</c:v>
                </c:pt>
                <c:pt idx="311">
                  <c:v>27.729935940925632</c:v>
                </c:pt>
                <c:pt idx="312">
                  <c:v>27.701707245096724</c:v>
                </c:pt>
                <c:pt idx="313">
                  <c:v>27.6723435359986</c:v>
                </c:pt>
                <c:pt idx="314">
                  <c:v>27.641807289779269</c:v>
                </c:pt>
                <c:pt idx="315">
                  <c:v>27.610060396073841</c:v>
                </c:pt>
                <c:pt idx="316">
                  <c:v>27.577064202679104</c:v>
                </c:pt>
                <c:pt idx="317">
                  <c:v>27.542779564960838</c:v>
                </c:pt>
                <c:pt idx="318">
                  <c:v>27.507166900093253</c:v>
                </c:pt>
                <c:pt idx="319">
                  <c:v>27.470186246207774</c:v>
                </c:pt>
                <c:pt idx="320">
                  <c:v>27.431797326496294</c:v>
                </c:pt>
                <c:pt idx="321">
                  <c:v>27.39195961827923</c:v>
                </c:pt>
                <c:pt idx="322">
                  <c:v>27.350632427015036</c:v>
                </c:pt>
                <c:pt idx="323">
                  <c:v>27.307774965183636</c:v>
                </c:pt>
                <c:pt idx="324">
                  <c:v>27.263346435937358</c:v>
                </c:pt>
                <c:pt idx="325">
                  <c:v>27.217306121362892</c:v>
                </c:pt>
                <c:pt idx="326">
                  <c:v>27.169613475152318</c:v>
                </c:pt>
                <c:pt idx="327">
                  <c:v>27.120228219429684</c:v>
                </c:pt>
                <c:pt idx="328">
                  <c:v>27.069110445427235</c:v>
                </c:pt>
                <c:pt idx="329">
                  <c:v>27.016220717654424</c:v>
                </c:pt>
                <c:pt idx="330">
                  <c:v>26.961520181146618</c:v>
                </c:pt>
                <c:pt idx="331">
                  <c:v>26.904970671331849</c:v>
                </c:pt>
                <c:pt idx="332">
                  <c:v>26.846534825998649</c:v>
                </c:pt>
                <c:pt idx="333">
                  <c:v>26.786176198802739</c:v>
                </c:pt>
                <c:pt idx="334">
                  <c:v>26.723859373699543</c:v>
                </c:pt>
                <c:pt idx="335">
                  <c:v>26.659550079652838</c:v>
                </c:pt>
                <c:pt idx="336">
                  <c:v>26.593215304927305</c:v>
                </c:pt>
                <c:pt idx="337">
                  <c:v>26.524823410243702</c:v>
                </c:pt>
                <c:pt idx="338">
                  <c:v>26.454344240050581</c:v>
                </c:pt>
                <c:pt idx="339">
                  <c:v>26.381749231146262</c:v>
                </c:pt>
                <c:pt idx="340">
                  <c:v>26.307011517877754</c:v>
                </c:pt>
                <c:pt idx="341">
                  <c:v>26.230106033139972</c:v>
                </c:pt>
                <c:pt idx="342">
                  <c:v>26.151009604408515</c:v>
                </c:pt>
                <c:pt idx="343">
                  <c:v>26.069701044054533</c:v>
                </c:pt>
                <c:pt idx="344">
                  <c:v>25.98616123321916</c:v>
                </c:pt>
                <c:pt idx="345">
                  <c:v>25.900373198560874</c:v>
                </c:pt>
                <c:pt idx="346">
                  <c:v>25.812322181234002</c:v>
                </c:pt>
                <c:pt idx="347">
                  <c:v>25.721995697513158</c:v>
                </c:pt>
                <c:pt idx="348">
                  <c:v>25.629383590541721</c:v>
                </c:pt>
                <c:pt idx="349">
                  <c:v>25.534478072750414</c:v>
                </c:pt>
                <c:pt idx="350">
                  <c:v>25.437273758574275</c:v>
                </c:pt>
                <c:pt idx="351">
                  <c:v>25.337767687175749</c:v>
                </c:pt>
                <c:pt idx="352">
                  <c:v>25.235959334971227</c:v>
                </c:pt>
                <c:pt idx="353">
                  <c:v>25.131850617847888</c:v>
                </c:pt>
                <c:pt idx="354">
                  <c:v>25.025445883052633</c:v>
                </c:pt>
                <c:pt idx="355">
                  <c:v>24.916751890823562</c:v>
                </c:pt>
                <c:pt idx="356">
                  <c:v>24.805777785930722</c:v>
                </c:pt>
                <c:pt idx="357">
                  <c:v>24.692535059378308</c:v>
                </c:pt>
                <c:pt idx="358">
                  <c:v>24.577037500608377</c:v>
                </c:pt>
                <c:pt idx="359">
                  <c:v>24.459301140624646</c:v>
                </c:pt>
                <c:pt idx="360">
                  <c:v>24.339344186529939</c:v>
                </c:pt>
                <c:pt idx="361">
                  <c:v>24.217186948035881</c:v>
                </c:pt>
                <c:pt idx="362">
                  <c:v>24.092851756565182</c:v>
                </c:pt>
                <c:pt idx="363">
                  <c:v>23.966362877612852</c:v>
                </c:pt>
                <c:pt idx="364">
                  <c:v>23.837746417076062</c:v>
                </c:pt>
                <c:pt idx="365">
                  <c:v>23.707030222292332</c:v>
                </c:pt>
                <c:pt idx="366">
                  <c:v>23.574243778547373</c:v>
                </c:pt>
                <c:pt idx="367">
                  <c:v>23.439418101826316</c:v>
                </c:pt>
                <c:pt idx="368">
                  <c:v>23.302585628584488</c:v>
                </c:pt>
                <c:pt idx="369">
                  <c:v>23.163780103306948</c:v>
                </c:pt>
                <c:pt idx="370">
                  <c:v>23.023036464613643</c:v>
                </c:pt>
                <c:pt idx="371">
                  <c:v>22.880390730642517</c:v>
                </c:pt>
                <c:pt idx="372">
                  <c:v>22.735879884415834</c:v>
                </c:pt>
                <c:pt idx="373">
                  <c:v>22.589541759858392</c:v>
                </c:pt>
                <c:pt idx="374">
                  <c:v>22.441414929097206</c:v>
                </c:pt>
                <c:pt idx="375">
                  <c:v>22.291538591626924</c:v>
                </c:pt>
                <c:pt idx="376">
                  <c:v>22.13995246587714</c:v>
                </c:pt>
                <c:pt idx="377">
                  <c:v>21.986696683668644</c:v>
                </c:pt>
                <c:pt idx="378">
                  <c:v>21.831811687990538</c:v>
                </c:pt>
                <c:pt idx="379">
                  <c:v>21.675338134481251</c:v>
                </c:pt>
                <c:pt idx="380">
                  <c:v>21.517316796939859</c:v>
                </c:pt>
                <c:pt idx="381">
                  <c:v>21.357788477143917</c:v>
                </c:pt>
                <c:pt idx="382">
                  <c:v>21.196793919198036</c:v>
                </c:pt>
                <c:pt idx="383">
                  <c:v>21.034373728588129</c:v>
                </c:pt>
                <c:pt idx="384">
                  <c:v>20.870568296069578</c:v>
                </c:pt>
                <c:pt idx="385">
                  <c:v>20.705417726473122</c:v>
                </c:pt>
                <c:pt idx="386">
                  <c:v>20.538961772469804</c:v>
                </c:pt>
                <c:pt idx="387">
                  <c:v>20.371239773299756</c:v>
                </c:pt>
                <c:pt idx="388">
                  <c:v>20.202290598432594</c:v>
                </c:pt>
                <c:pt idx="389">
                  <c:v>20.032152596097376</c:v>
                </c:pt>
                <c:pt idx="390">
                  <c:v>19.860863546590728</c:v>
                </c:pt>
                <c:pt idx="391">
                  <c:v>19.688460620247138</c:v>
                </c:pt>
                <c:pt idx="392">
                  <c:v>19.514980339934521</c:v>
                </c:pt>
                <c:pt idx="393">
                  <c:v>19.340458547919223</c:v>
                </c:pt>
                <c:pt idx="394">
                  <c:v>19.164930376930446</c:v>
                </c:pt>
                <c:pt idx="395">
                  <c:v>18.988430225240588</c:v>
                </c:pt>
                <c:pt idx="396">
                  <c:v>18.810991735569672</c:v>
                </c:pt>
                <c:pt idx="397">
                  <c:v>18.632647777614583</c:v>
                </c:pt>
                <c:pt idx="398">
                  <c:v>18.453430433999415</c:v>
                </c:pt>
                <c:pt idx="399">
                  <c:v>18.273370989440384</c:v>
                </c:pt>
                <c:pt idx="400">
                  <c:v>18.092499922918542</c:v>
                </c:pt>
                <c:pt idx="401">
                  <c:v>17.910846902654868</c:v>
                </c:pt>
                <c:pt idx="402">
                  <c:v>17.728440783683642</c:v>
                </c:pt>
                <c:pt idx="403">
                  <c:v>17.545309607825885</c:v>
                </c:pt>
                <c:pt idx="404">
                  <c:v>17.361480605867118</c:v>
                </c:pt>
                <c:pt idx="405">
                  <c:v>17.17698020175261</c:v>
                </c:pt>
                <c:pt idx="406">
                  <c:v>16.991834018616188</c:v>
                </c:pt>
                <c:pt idx="407">
                  <c:v>16.806066886470084</c:v>
                </c:pt>
                <c:pt idx="408">
                  <c:v>16.619702851387164</c:v>
                </c:pt>
                <c:pt idx="409">
                  <c:v>16.432765186017583</c:v>
                </c:pt>
                <c:pt idx="410">
                  <c:v>16.245276401288962</c:v>
                </c:pt>
                <c:pt idx="411">
                  <c:v>16.057258259148</c:v>
                </c:pt>
                <c:pt idx="412">
                  <c:v>15.868731786209757</c:v>
                </c:pt>
                <c:pt idx="413">
                  <c:v>15.679717288188503</c:v>
                </c:pt>
                <c:pt idx="414">
                  <c:v>15.490234364995079</c:v>
                </c:pt>
                <c:pt idx="415">
                  <c:v>15.300301926389622</c:v>
                </c:pt>
                <c:pt idx="416">
                  <c:v>15.10993820808941</c:v>
                </c:pt>
                <c:pt idx="417">
                  <c:v>14.919160788240017</c:v>
                </c:pt>
                <c:pt idx="418">
                  <c:v>14.727986604161494</c:v>
                </c:pt>
                <c:pt idx="419">
                  <c:v>14.536431969292934</c:v>
                </c:pt>
                <c:pt idx="420">
                  <c:v>14.344512590262671</c:v>
                </c:pt>
                <c:pt idx="421">
                  <c:v>14.15224358401815</c:v>
                </c:pt>
                <c:pt idx="422">
                  <c:v>13.959639494957926</c:v>
                </c:pt>
                <c:pt idx="423">
                  <c:v>13.766714312010089</c:v>
                </c:pt>
                <c:pt idx="424">
                  <c:v>13.573481485611014</c:v>
                </c:pt>
                <c:pt idx="425">
                  <c:v>13.379953944540512</c:v>
                </c:pt>
                <c:pt idx="426">
                  <c:v>13.186144112575604</c:v>
                </c:pt>
                <c:pt idx="427">
                  <c:v>12.992063924929267</c:v>
                </c:pt>
                <c:pt idx="428">
                  <c:v>12.797724844444776</c:v>
                </c:pt>
                <c:pt idx="429">
                  <c:v>12.60313787751989</c:v>
                </c:pt>
                <c:pt idx="430">
                  <c:v>12.408313589738885</c:v>
                </c:pt>
                <c:pt idx="431">
                  <c:v>12.213262121193614</c:v>
                </c:pt>
                <c:pt idx="432">
                  <c:v>12.017993201478099</c:v>
                </c:pt>
                <c:pt idx="433">
                  <c:v>11.822516164343135</c:v>
                </c:pt>
                <c:pt idx="434">
                  <c:v>11.626839962000787</c:v>
                </c:pt>
                <c:pt idx="435">
                  <c:v>11.430973179070733</c:v>
                </c:pt>
                <c:pt idx="436">
                  <c:v>11.23492404616198</c:v>
                </c:pt>
                <c:pt idx="437">
                  <c:v>11.03870045308568</c:v>
                </c:pt>
                <c:pt idx="438">
                  <c:v>10.842309961697094</c:v>
                </c:pt>
                <c:pt idx="439">
                  <c:v>10.645759818365192</c:v>
                </c:pt>
                <c:pt idx="440">
                  <c:v>10.449056966070378</c:v>
                </c:pt>
                <c:pt idx="441">
                  <c:v>10.252208056131785</c:v>
                </c:pt>
                <c:pt idx="442">
                  <c:v>10.055219459567406</c:v>
                </c:pt>
                <c:pt idx="443">
                  <c:v>9.8580972780896676</c:v>
                </c:pt>
                <c:pt idx="444">
                  <c:v>9.6608473547421152</c:v>
                </c:pt>
                <c:pt idx="445">
                  <c:v>9.4634752841809675</c:v>
                </c:pt>
                <c:pt idx="446">
                  <c:v>9.2659864226088047</c:v>
                </c:pt>
                <c:pt idx="447">
                  <c:v>9.068385897365367</c:v>
                </c:pt>
                <c:pt idx="448">
                  <c:v>8.8706786161834543</c:v>
                </c:pt>
                <c:pt idx="449">
                  <c:v>8.6728692761161081</c:v>
                </c:pt>
                <c:pt idx="450">
                  <c:v>8.4749623721427909</c:v>
                </c:pt>
                <c:pt idx="451">
                  <c:v>8.2769622054634446</c:v>
                </c:pt>
                <c:pt idx="452">
                  <c:v>8.0788728914858243</c:v>
                </c:pt>
                <c:pt idx="453">
                  <c:v>7.8806983675172404</c:v>
                </c:pt>
                <c:pt idx="454">
                  <c:v>7.6824424001660061</c:v>
                </c:pt>
                <c:pt idx="455">
                  <c:v>7.4841085924630288</c:v>
                </c:pt>
                <c:pt idx="456">
                  <c:v>7.2857003907102289</c:v>
                </c:pt>
                <c:pt idx="457">
                  <c:v>7.0872210910652642</c:v>
                </c:pt>
                <c:pt idx="458">
                  <c:v>6.88867384586956</c:v>
                </c:pt>
                <c:pt idx="459">
                  <c:v>6.6900616697287045</c:v>
                </c:pt>
                <c:pt idx="460">
                  <c:v>6.4913874453525811</c:v>
                </c:pt>
                <c:pt idx="461">
                  <c:v>6.2926539291638663</c:v>
                </c:pt>
                <c:pt idx="462">
                  <c:v>6.093863756682099</c:v>
                </c:pt>
                <c:pt idx="463">
                  <c:v>5.8950194476912499</c:v>
                </c:pt>
                <c:pt idx="464">
                  <c:v>5.6961234111984478</c:v>
                </c:pt>
                <c:pt idx="465">
                  <c:v>5.4971779501909976</c:v>
                </c:pt>
                <c:pt idx="466">
                  <c:v>5.2981852661989093</c:v>
                </c:pt>
                <c:pt idx="467">
                  <c:v>5.0991474636707217</c:v>
                </c:pt>
                <c:pt idx="468">
                  <c:v>4.9000665541682507</c:v>
                </c:pt>
                <c:pt idx="469">
                  <c:v>4.7009444603880297</c:v>
                </c:pt>
                <c:pt idx="470">
                  <c:v>4.5017830200151971</c:v>
                </c:pt>
                <c:pt idx="471">
                  <c:v>4.3025839894172009</c:v>
                </c:pt>
                <c:pt idx="472">
                  <c:v>4.1033490471818403</c:v>
                </c:pt>
                <c:pt idx="473">
                  <c:v>3.9040797975078405</c:v>
                </c:pt>
                <c:pt idx="474">
                  <c:v>3.704777773450743</c:v>
                </c:pt>
                <c:pt idx="475">
                  <c:v>3.5054444400335742</c:v>
                </c:pt>
                <c:pt idx="476">
                  <c:v>3.3060811972235253</c:v>
                </c:pt>
                <c:pt idx="477">
                  <c:v>3.1066893827838054</c:v>
                </c:pt>
                <c:pt idx="478">
                  <c:v>2.9072702750020945</c:v>
                </c:pt>
                <c:pt idx="479">
                  <c:v>2.7078250953040337</c:v>
                </c:pt>
                <c:pt idx="480">
                  <c:v>2.5083550107531885</c:v>
                </c:pt>
                <c:pt idx="481">
                  <c:v>2.3088611364448774</c:v>
                </c:pt>
                <c:pt idx="482">
                  <c:v>2.1093445377956757</c:v>
                </c:pt>
                <c:pt idx="483">
                  <c:v>1.9098062327353271</c:v>
                </c:pt>
                <c:pt idx="484">
                  <c:v>1.7102471938029447</c:v>
                </c:pt>
                <c:pt idx="485">
                  <c:v>1.5106683501530094</c:v>
                </c:pt>
                <c:pt idx="486">
                  <c:v>1.3110705894741255</c:v>
                </c:pt>
                <c:pt idx="487">
                  <c:v>1.1114547598243911</c:v>
                </c:pt>
                <c:pt idx="488">
                  <c:v>0.91182167138667491</c:v>
                </c:pt>
                <c:pt idx="489">
                  <c:v>0.71217209814778504</c:v>
                </c:pt>
                <c:pt idx="490">
                  <c:v>0.51250677950391543</c:v>
                </c:pt>
                <c:pt idx="491">
                  <c:v>0.3128264217960095</c:v>
                </c:pt>
                <c:pt idx="492">
                  <c:v>0.11313169977805437</c:v>
                </c:pt>
                <c:pt idx="493">
                  <c:v>-8.6576741979101812E-2</c:v>
                </c:pt>
                <c:pt idx="494">
                  <c:v>-0.28629828774587129</c:v>
                </c:pt>
                <c:pt idx="495">
                  <c:v>-0.48603234935021694</c:v>
                </c:pt>
                <c:pt idx="496">
                  <c:v>-0.68577836495141531</c:v>
                </c:pt>
                <c:pt idx="497">
                  <c:v>-0.88553579786701253</c:v>
                </c:pt>
                <c:pt idx="498">
                  <c:v>-1.0853041354518891</c:v>
                </c:pt>
                <c:pt idx="499">
                  <c:v>-1.2850828880266982</c:v>
                </c:pt>
                <c:pt idx="500">
                  <c:v>-1.4848715878538132</c:v>
                </c:pt>
                <c:pt idx="501">
                  <c:v>-1.6846697881578307</c:v>
                </c:pt>
                <c:pt idx="502">
                  <c:v>-1.884477062190709</c:v>
                </c:pt>
                <c:pt idx="503">
                  <c:v>-2.0842930023366937</c:v>
                </c:pt>
                <c:pt idx="504">
                  <c:v>-2.2841172192584875</c:v>
                </c:pt>
                <c:pt idx="505">
                  <c:v>-2.4839493410800118</c:v>
                </c:pt>
                <c:pt idx="506">
                  <c:v>-2.6837890126061743</c:v>
                </c:pt>
                <c:pt idx="507">
                  <c:v>-2.8836358945768445</c:v>
                </c:pt>
                <c:pt idx="508">
                  <c:v>-3.0834896629543778</c:v>
                </c:pt>
                <c:pt idx="509">
                  <c:v>-3.2833500082426008</c:v>
                </c:pt>
                <c:pt idx="510">
                  <c:v>-3.483216634835947</c:v>
                </c:pt>
                <c:pt idx="511">
                  <c:v>-3.6830892603976872</c:v>
                </c:pt>
                <c:pt idx="512">
                  <c:v>-3.8829676152660539</c:v>
                </c:pt>
                <c:pt idx="513">
                  <c:v>-4.0828514418864517</c:v>
                </c:pt>
                <c:pt idx="514">
                  <c:v>-4.2827404942692429</c:v>
                </c:pt>
                <c:pt idx="515">
                  <c:v>-4.4826345374713927</c:v>
                </c:pt>
                <c:pt idx="516">
                  <c:v>-4.6825333471018435</c:v>
                </c:pt>
                <c:pt idx="517">
                  <c:v>-4.8824367088481306</c:v>
                </c:pt>
                <c:pt idx="518">
                  <c:v>-5.0823444180248263</c:v>
                </c:pt>
                <c:pt idx="519">
                  <c:v>-5.2822562791419605</c:v>
                </c:pt>
                <c:pt idx="520">
                  <c:v>-5.482172105492424</c:v>
                </c:pt>
                <c:pt idx="521">
                  <c:v>-5.6820917187582856</c:v>
                </c:pt>
                <c:pt idx="522">
                  <c:v>-5.8820149486341213</c:v>
                </c:pt>
                <c:pt idx="523">
                  <c:v>-6.0819416324678466</c:v>
                </c:pt>
                <c:pt idx="524">
                  <c:v>-6.2818716149172182</c:v>
                </c:pt>
                <c:pt idx="525">
                  <c:v>-6.4818047476216893</c:v>
                </c:pt>
                <c:pt idx="526">
                  <c:v>-6.6817408888891325</c:v>
                </c:pt>
                <c:pt idx="527">
                  <c:v>-6.8816799033964147</c:v>
                </c:pt>
                <c:pt idx="528">
                  <c:v>-7.0816216619036005</c:v>
                </c:pt>
                <c:pt idx="529">
                  <c:v>-7.2815660409806151</c:v>
                </c:pt>
                <c:pt idx="530">
                  <c:v>-7.4815129227465471</c:v>
                </c:pt>
                <c:pt idx="531">
                  <c:v>-7.6814621946203756</c:v>
                </c:pt>
                <c:pt idx="532">
                  <c:v>-7.8814137490828173</c:v>
                </c:pt>
                <c:pt idx="533">
                  <c:v>-8.0813674834491049</c:v>
                </c:pt>
                <c:pt idx="534">
                  <c:v>-8.2813232996518451</c:v>
                </c:pt>
                <c:pt idx="535">
                  <c:v>-8.481281104033469</c:v>
                </c:pt>
                <c:pt idx="536">
                  <c:v>-8.6812408071479847</c:v>
                </c:pt>
                <c:pt idx="537">
                  <c:v>-8.8812023235720581</c:v>
                </c:pt>
                <c:pt idx="538">
                  <c:v>-9.0811655717241084</c:v>
                </c:pt>
                <c:pt idx="539">
                  <c:v>-9.2811304736914089</c:v>
                </c:pt>
                <c:pt idx="540">
                  <c:v>-9.4810969550655564</c:v>
                </c:pt>
                <c:pt idx="541">
                  <c:v>-9.6810649447849713</c:v>
                </c:pt>
              </c:numCache>
            </c:numRef>
          </c:yVal>
          <c:smooth val="1"/>
          <c:extLst>
            <c:ext xmlns:c16="http://schemas.microsoft.com/office/drawing/2014/chart" uri="{C3380CC4-5D6E-409C-BE32-E72D297353CC}">
              <c16:uniqueId val="{00000000-C95D-4273-8D1D-E8C586949522}"/>
            </c:ext>
          </c:extLst>
        </c:ser>
        <c:dLbls>
          <c:showLegendKey val="0"/>
          <c:showVal val="0"/>
          <c:showCatName val="0"/>
          <c:showSerName val="0"/>
          <c:showPercent val="0"/>
          <c:showBubbleSize val="0"/>
        </c:dLbls>
        <c:axId val="160531200"/>
        <c:axId val="160533120"/>
      </c:scatterChart>
      <c:scatterChart>
        <c:scatterStyle val="smoothMarker"/>
        <c:varyColors val="0"/>
        <c:ser>
          <c:idx val="1"/>
          <c:order val="1"/>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Loop_Modeling!$AR$19:$AR$560</c:f>
              <c:numCache>
                <c:formatCode>General</c:formatCode>
                <c:ptCount val="542"/>
                <c:pt idx="0">
                  <c:v>128.36560014970064</c:v>
                </c:pt>
                <c:pt idx="1">
                  <c:v>129.00895247207686</c:v>
                </c:pt>
                <c:pt idx="2">
                  <c:v>129.65537022936186</c:v>
                </c:pt>
                <c:pt idx="3">
                  <c:v>130.30453666323643</c:v>
                </c:pt>
                <c:pt idx="4">
                  <c:v>130.95612800274472</c:v>
                </c:pt>
                <c:pt idx="5">
                  <c:v>131.60981422608003</c:v>
                </c:pt>
                <c:pt idx="6">
                  <c:v>132.26525986082635</c:v>
                </c:pt>
                <c:pt idx="7">
                  <c:v>132.92212481814423</c:v>
                </c:pt>
                <c:pt idx="8">
                  <c:v>133.58006525600328</c:v>
                </c:pt>
                <c:pt idx="9">
                  <c:v>134.23873446622639</c:v>
                </c:pt>
                <c:pt idx="10">
                  <c:v>134.89778377983009</c:v>
                </c:pt>
                <c:pt idx="11">
                  <c:v>135.55686348493006</c:v>
                </c:pt>
                <c:pt idx="12">
                  <c:v>136.21562375132751</c:v>
                </c:pt>
                <c:pt idx="13">
                  <c:v>136.87371555581473</c:v>
                </c:pt>
                <c:pt idx="14">
                  <c:v>137.53079160223106</c:v>
                </c:pt>
                <c:pt idx="15">
                  <c:v>138.1865072303595</c:v>
                </c:pt>
                <c:pt idx="16">
                  <c:v>138.84052130788825</c:v>
                </c:pt>
                <c:pt idx="17">
                  <c:v>139.49249709986461</c:v>
                </c:pt>
                <c:pt idx="18">
                  <c:v>140.1421031103356</c:v>
                </c:pt>
                <c:pt idx="19">
                  <c:v>140.78901389118246</c:v>
                </c:pt>
                <c:pt idx="20">
                  <c:v>141.43291081355383</c:v>
                </c:pt>
                <c:pt idx="21">
                  <c:v>142.07348279769985</c:v>
                </c:pt>
                <c:pt idx="22">
                  <c:v>142.71042699749455</c:v>
                </c:pt>
                <c:pt idx="23">
                  <c:v>143.34344943641435</c:v>
                </c:pt>
                <c:pt idx="24">
                  <c:v>143.97226559225075</c:v>
                </c:pt>
                <c:pt idx="25">
                  <c:v>144.59660092837868</c:v>
                </c:pt>
                <c:pt idx="26">
                  <c:v>145.21619136991811</c:v>
                </c:pt>
                <c:pt idx="27">
                  <c:v>145.83078372367274</c:v>
                </c:pt>
                <c:pt idx="28">
                  <c:v>146.44013604123606</c:v>
                </c:pt>
                <c:pt idx="29">
                  <c:v>147.04401792517288</c:v>
                </c:pt>
                <c:pt idx="30">
                  <c:v>147.64221077865236</c:v>
                </c:pt>
                <c:pt idx="31">
                  <c:v>148.2345079993664</c:v>
                </c:pt>
                <c:pt idx="32">
                  <c:v>148.82071511898209</c:v>
                </c:pt>
                <c:pt idx="33">
                  <c:v>149.40064988976042</c:v>
                </c:pt>
                <c:pt idx="34">
                  <c:v>149.97414232030459</c:v>
                </c:pt>
                <c:pt idx="35">
                  <c:v>150.54103466271363</c:v>
                </c:pt>
                <c:pt idx="36">
                  <c:v>151.10118135365261</c:v>
                </c:pt>
                <c:pt idx="37">
                  <c:v>151.65444891208153</c:v>
                </c:pt>
                <c:pt idx="38">
                  <c:v>152.20071579653916</c:v>
                </c:pt>
                <c:pt idx="39">
                  <c:v>152.73987222500907</c:v>
                </c:pt>
                <c:pt idx="40">
                  <c:v>153.27181996048395</c:v>
                </c:pt>
                <c:pt idx="41">
                  <c:v>153.79647206538996</c:v>
                </c:pt>
                <c:pt idx="42">
                  <c:v>154.31375262804715</c:v>
                </c:pt>
                <c:pt idx="43">
                  <c:v>154.82359646432275</c:v>
                </c:pt>
                <c:pt idx="44">
                  <c:v>155.32594879758847</c:v>
                </c:pt>
                <c:pt idx="45">
                  <c:v>155.8207649200169</c:v>
                </c:pt>
                <c:pt idx="46">
                  <c:v>156.30800983815331</c:v>
                </c:pt>
                <c:pt idx="47">
                  <c:v>156.78765790559459</c:v>
                </c:pt>
                <c:pt idx="48">
                  <c:v>157.25969244545871</c:v>
                </c:pt>
                <c:pt idx="49">
                  <c:v>157.7241053652003</c:v>
                </c:pt>
                <c:pt idx="50">
                  <c:v>158.18089676616378</c:v>
                </c:pt>
                <c:pt idx="51">
                  <c:v>158.63007455010705</c:v>
                </c:pt>
                <c:pt idx="52">
                  <c:v>159.07165402476477</c:v>
                </c:pt>
                <c:pt idx="53">
                  <c:v>159.50565751035035</c:v>
                </c:pt>
                <c:pt idx="54">
                  <c:v>159.93211394872853</c:v>
                </c:pt>
                <c:pt idx="55">
                  <c:v>160.35105851682476</c:v>
                </c:pt>
                <c:pt idx="56">
                  <c:v>160.76253224567242</c:v>
                </c:pt>
                <c:pt idx="57">
                  <c:v>161.16658164634637</c:v>
                </c:pt>
                <c:pt idx="58">
                  <c:v>161.56325834387079</c:v>
                </c:pt>
                <c:pt idx="59">
                  <c:v>161.95261872004977</c:v>
                </c:pt>
                <c:pt idx="60">
                  <c:v>162.33472356602979</c:v>
                </c:pt>
                <c:pt idx="61">
                  <c:v>162.70963774527047</c:v>
                </c:pt>
                <c:pt idx="62">
                  <c:v>163.07742986748016</c:v>
                </c:pt>
                <c:pt idx="63">
                  <c:v>163.4381719739599</c:v>
                </c:pt>
                <c:pt idx="64">
                  <c:v>163.79193923469228</c:v>
                </c:pt>
                <c:pt idx="65">
                  <c:v>164.13880965741711</c:v>
                </c:pt>
                <c:pt idx="66">
                  <c:v>164.47886380884805</c:v>
                </c:pt>
                <c:pt idx="67">
                  <c:v>164.81218454810551</c:v>
                </c:pt>
                <c:pt idx="68">
                  <c:v>165.13885677236664</c:v>
                </c:pt>
                <c:pt idx="69">
                  <c:v>165.45896717467352</c:v>
                </c:pt>
                <c:pt idx="70">
                  <c:v>165.77260401378203</c:v>
                </c:pt>
                <c:pt idx="71">
                  <c:v>166.07985689588367</c:v>
                </c:pt>
                <c:pt idx="72">
                  <c:v>166.38081656799179</c:v>
                </c:pt>
                <c:pt idx="73">
                  <c:v>166.67557472274484</c:v>
                </c:pt>
                <c:pt idx="74">
                  <c:v>166.964223814348</c:v>
                </c:pt>
                <c:pt idx="75">
                  <c:v>167.24685688535021</c:v>
                </c:pt>
                <c:pt idx="76">
                  <c:v>167.52356740393029</c:v>
                </c:pt>
                <c:pt idx="77">
                  <c:v>167.79444911134851</c:v>
                </c:pt>
                <c:pt idx="78">
                  <c:v>168.05959587921012</c:v>
                </c:pt>
                <c:pt idx="79">
                  <c:v>168.31910157617367</c:v>
                </c:pt>
                <c:pt idx="80">
                  <c:v>168.57305994373345</c:v>
                </c:pt>
                <c:pt idx="81">
                  <c:v>168.8215644807012</c:v>
                </c:pt>
                <c:pt idx="82">
                  <c:v>169.06470833601045</c:v>
                </c:pt>
                <c:pt idx="83">
                  <c:v>169.30258420947013</c:v>
                </c:pt>
                <c:pt idx="84">
                  <c:v>169.53528426009498</c:v>
                </c:pt>
                <c:pt idx="85">
                  <c:v>169.7629000216464</c:v>
                </c:pt>
                <c:pt idx="86">
                  <c:v>169.98552232502487</c:v>
                </c:pt>
                <c:pt idx="87">
                  <c:v>170.20324122715911</c:v>
                </c:pt>
                <c:pt idx="88">
                  <c:v>170.41614594605053</c:v>
                </c:pt>
                <c:pt idx="89">
                  <c:v>170.62432480163594</c:v>
                </c:pt>
                <c:pt idx="90">
                  <c:v>170.8278651621458</c:v>
                </c:pt>
                <c:pt idx="91">
                  <c:v>171.02685339564295</c:v>
                </c:pt>
                <c:pt idx="92">
                  <c:v>171.22137482643924</c:v>
                </c:pt>
                <c:pt idx="93">
                  <c:v>171.41151369609776</c:v>
                </c:pt>
                <c:pt idx="94">
                  <c:v>171.59735312874119</c:v>
                </c:pt>
                <c:pt idx="95">
                  <c:v>171.77897510039628</c:v>
                </c:pt>
                <c:pt idx="96">
                  <c:v>171.95646041211774</c:v>
                </c:pt>
                <c:pt idx="97">
                  <c:v>172.12988866664529</c:v>
                </c:pt>
                <c:pt idx="98">
                  <c:v>172.29933824835928</c:v>
                </c:pt>
                <c:pt idx="99">
                  <c:v>172.46488630631097</c:v>
                </c:pt>
                <c:pt idx="100">
                  <c:v>172.62660874011476</c:v>
                </c:pt>
                <c:pt idx="101">
                  <c:v>172.78458018850108</c:v>
                </c:pt>
                <c:pt idx="102">
                  <c:v>172.93887402033667</c:v>
                </c:pt>
                <c:pt idx="103">
                  <c:v>173.08956232793213</c:v>
                </c:pt>
                <c:pt idx="104">
                  <c:v>173.23671592246373</c:v>
                </c:pt>
                <c:pt idx="105">
                  <c:v>173.38040433134759</c:v>
                </c:pt>
                <c:pt idx="106">
                  <c:v>173.52069579741212</c:v>
                </c:pt>
                <c:pt idx="107">
                  <c:v>173.65765727972456</c:v>
                </c:pt>
                <c:pt idx="108">
                  <c:v>173.79135445593442</c:v>
                </c:pt>
                <c:pt idx="109">
                  <c:v>173.92185172600628</c:v>
                </c:pt>
                <c:pt idx="110">
                  <c:v>174.04921221721989</c:v>
                </c:pt>
                <c:pt idx="111">
                  <c:v>174.17349779032554</c:v>
                </c:pt>
                <c:pt idx="112">
                  <c:v>174.29476904674686</c:v>
                </c:pt>
                <c:pt idx="113">
                  <c:v>174.41308533673123</c:v>
                </c:pt>
                <c:pt idx="114">
                  <c:v>174.52850476835542</c:v>
                </c:pt>
                <c:pt idx="115">
                  <c:v>174.64108421729688</c:v>
                </c:pt>
                <c:pt idx="116">
                  <c:v>174.75087933728972</c:v>
                </c:pt>
                <c:pt idx="117">
                  <c:v>174.85794457118891</c:v>
                </c:pt>
                <c:pt idx="118">
                  <c:v>174.9623331625701</c:v>
                </c:pt>
                <c:pt idx="119">
                  <c:v>175.06409716779919</c:v>
                </c:pt>
                <c:pt idx="120">
                  <c:v>175.163287468509</c:v>
                </c:pt>
                <c:pt idx="121">
                  <c:v>175.2599537844246</c:v>
                </c:pt>
                <c:pt idx="122">
                  <c:v>175.35414468648432</c:v>
                </c:pt>
                <c:pt idx="123">
                  <c:v>175.44590761020498</c:v>
                </c:pt>
                <c:pt idx="124">
                  <c:v>175.53528886924565</c:v>
                </c:pt>
                <c:pt idx="125">
                  <c:v>175.62233366912642</c:v>
                </c:pt>
                <c:pt idx="126">
                  <c:v>175.70708612106154</c:v>
                </c:pt>
                <c:pt idx="127">
                  <c:v>175.78958925587054</c:v>
                </c:pt>
                <c:pt idx="128">
                  <c:v>175.86988503793197</c:v>
                </c:pt>
                <c:pt idx="129">
                  <c:v>175.94801437914916</c:v>
                </c:pt>
                <c:pt idx="130">
                  <c:v>176.02401715289722</c:v>
                </c:pt>
                <c:pt idx="131">
                  <c:v>176.09793220792523</c:v>
                </c:pt>
                <c:pt idx="132">
                  <c:v>176.16979738218791</c:v>
                </c:pt>
                <c:pt idx="133">
                  <c:v>176.23964951658456</c:v>
                </c:pt>
                <c:pt idx="134">
                  <c:v>176.30752446858295</c:v>
                </c:pt>
                <c:pt idx="135">
                  <c:v>176.37345712571002</c:v>
                </c:pt>
                <c:pt idx="136">
                  <c:v>176.43748141889068</c:v>
                </c:pt>
                <c:pt idx="137">
                  <c:v>176.49963033561872</c:v>
                </c:pt>
                <c:pt idx="138">
                  <c:v>176.55993593294471</c:v>
                </c:pt>
                <c:pt idx="139">
                  <c:v>176.61842935026789</c:v>
                </c:pt>
                <c:pt idx="140">
                  <c:v>176.67514082191886</c:v>
                </c:pt>
                <c:pt idx="141">
                  <c:v>176.73009968952198</c:v>
                </c:pt>
                <c:pt idx="142">
                  <c:v>176.78333441412769</c:v>
                </c:pt>
                <c:pt idx="143">
                  <c:v>176.8348725881051</c:v>
                </c:pt>
                <c:pt idx="144">
                  <c:v>176.88474094678617</c:v>
                </c:pt>
                <c:pt idx="145">
                  <c:v>176.93296537985461</c:v>
                </c:pt>
                <c:pt idx="146">
                  <c:v>176.97957094247192</c:v>
                </c:pt>
                <c:pt idx="147">
                  <c:v>177.02458186613521</c:v>
                </c:pt>
                <c:pt idx="148">
                  <c:v>177.06802156926051</c:v>
                </c:pt>
                <c:pt idx="149">
                  <c:v>177.10991266748741</c:v>
                </c:pt>
                <c:pt idx="150">
                  <c:v>177.15027698370037</c:v>
                </c:pt>
                <c:pt idx="151">
                  <c:v>177.18913555776277</c:v>
                </c:pt>
                <c:pt idx="152">
                  <c:v>177.22650865596046</c:v>
                </c:pt>
                <c:pt idx="153">
                  <c:v>177.26241578015188</c:v>
                </c:pt>
                <c:pt idx="154">
                  <c:v>177.29687567662208</c:v>
                </c:pt>
                <c:pt idx="155">
                  <c:v>177.32990634463846</c:v>
                </c:pt>
                <c:pt idx="156">
                  <c:v>177.36152504470618</c:v>
                </c:pt>
                <c:pt idx="157">
                  <c:v>177.39174830652166</c:v>
                </c:pt>
                <c:pt idx="158">
                  <c:v>177.42059193662303</c:v>
                </c:pt>
                <c:pt idx="159">
                  <c:v>177.44807102573589</c:v>
                </c:pt>
                <c:pt idx="160">
                  <c:v>177.47419995581373</c:v>
                </c:pt>
                <c:pt idx="161">
                  <c:v>177.49899240677232</c:v>
                </c:pt>
                <c:pt idx="162">
                  <c:v>177.52246136291711</c:v>
                </c:pt>
                <c:pt idx="163">
                  <c:v>177.54461911906358</c:v>
                </c:pt>
                <c:pt idx="164">
                  <c:v>177.56547728634985</c:v>
                </c:pt>
                <c:pt idx="165">
                  <c:v>177.5850467977414</c:v>
                </c:pt>
                <c:pt idx="166">
                  <c:v>177.60333791322816</c:v>
                </c:pt>
                <c:pt idx="167">
                  <c:v>177.62036022471304</c:v>
                </c:pt>
                <c:pt idx="168">
                  <c:v>177.63612266059275</c:v>
                </c:pt>
                <c:pt idx="169">
                  <c:v>177.6506334900304</c:v>
                </c:pt>
                <c:pt idx="170">
                  <c:v>177.66390032692053</c:v>
                </c:pt>
                <c:pt idx="171">
                  <c:v>177.67593013354588</c:v>
                </c:pt>
                <c:pt idx="172">
                  <c:v>177.68672922392679</c:v>
                </c:pt>
                <c:pt idx="173">
                  <c:v>177.69630326686308</c:v>
                </c:pt>
                <c:pt idx="174">
                  <c:v>177.70465728866876</c:v>
                </c:pt>
                <c:pt idx="175">
                  <c:v>177.71179567559892</c:v>
                </c:pt>
                <c:pt idx="176">
                  <c:v>177.71772217597066</c:v>
                </c:pt>
                <c:pt idx="177">
                  <c:v>177.72243990197649</c:v>
                </c:pt>
                <c:pt idx="178">
                  <c:v>177.72595133119103</c:v>
                </c:pt>
                <c:pt idx="179">
                  <c:v>177.72825830777154</c:v>
                </c:pt>
                <c:pt idx="180">
                  <c:v>177.72936204335167</c:v>
                </c:pt>
                <c:pt idx="181">
                  <c:v>177.72926311762905</c:v>
                </c:pt>
                <c:pt idx="182">
                  <c:v>177.72796147864608</c:v>
                </c:pt>
                <c:pt idx="183">
                  <c:v>177.72545644276519</c:v>
                </c:pt>
                <c:pt idx="184">
                  <c:v>177.72174669433684</c:v>
                </c:pt>
                <c:pt idx="185">
                  <c:v>177.71683028506209</c:v>
                </c:pt>
                <c:pt idx="186">
                  <c:v>177.7107046330481</c:v>
                </c:pt>
                <c:pt idx="187">
                  <c:v>177.70336652155737</c:v>
                </c:pt>
                <c:pt idx="188">
                  <c:v>177.69481209745058</c:v>
                </c:pt>
                <c:pt idx="189">
                  <c:v>177.6850368693224</c:v>
                </c:pt>
                <c:pt idx="190">
                  <c:v>177.67403570533071</c:v>
                </c:pt>
                <c:pt idx="191">
                  <c:v>177.66180283071847</c:v>
                </c:pt>
                <c:pt idx="192">
                  <c:v>177.64833182502898</c:v>
                </c:pt>
                <c:pt idx="193">
                  <c:v>177.63361561901311</c:v>
                </c:pt>
                <c:pt idx="194">
                  <c:v>177.61764649122958</c:v>
                </c:pt>
                <c:pt idx="195">
                  <c:v>177.6004160643372</c:v>
                </c:pt>
                <c:pt idx="196">
                  <c:v>177.58191530107948</c:v>
                </c:pt>
                <c:pt idx="197">
                  <c:v>177.56213449996136</c:v>
                </c:pt>
                <c:pt idx="198">
                  <c:v>177.54106329061753</c:v>
                </c:pt>
                <c:pt idx="199">
                  <c:v>177.51869062887332</c:v>
                </c:pt>
                <c:pt idx="200">
                  <c:v>177.49500479149691</c:v>
                </c:pt>
                <c:pt idx="201">
                  <c:v>177.46999337064392</c:v>
                </c:pt>
                <c:pt idx="202">
                  <c:v>177.44364326799433</c:v>
                </c:pt>
                <c:pt idx="203">
                  <c:v>177.41594068858129</c:v>
                </c:pt>
                <c:pt idx="204">
                  <c:v>177.38687113431354</c:v>
                </c:pt>
                <c:pt idx="205">
                  <c:v>177.35641939719017</c:v>
                </c:pt>
                <c:pt idx="206">
                  <c:v>177.32456955221048</c:v>
                </c:pt>
                <c:pt idx="207">
                  <c:v>177.29130494997736</c:v>
                </c:pt>
                <c:pt idx="208">
                  <c:v>177.25660820899751</c:v>
                </c:pt>
                <c:pt idx="209">
                  <c:v>177.2204612076778</c:v>
                </c:pt>
                <c:pt idx="210">
                  <c:v>177.18284507602041</c:v>
                </c:pt>
                <c:pt idx="211">
                  <c:v>177.14374018701795</c:v>
                </c:pt>
                <c:pt idx="212">
                  <c:v>177.10312614775037</c:v>
                </c:pt>
                <c:pt idx="213">
                  <c:v>177.06098179018667</c:v>
                </c:pt>
                <c:pt idx="214">
                  <c:v>177.01728516169311</c:v>
                </c:pt>
                <c:pt idx="215">
                  <c:v>176.97201351525175</c:v>
                </c:pt>
                <c:pt idx="216">
                  <c:v>176.92514329939215</c:v>
                </c:pt>
                <c:pt idx="217">
                  <c:v>176.87665014784079</c:v>
                </c:pt>
                <c:pt idx="218">
                  <c:v>176.82650886889192</c:v>
                </c:pt>
                <c:pt idx="219">
                  <c:v>176.77469343450565</c:v>
                </c:pt>
                <c:pt idx="220">
                  <c:v>176.7211769691377</c:v>
                </c:pt>
                <c:pt idx="221">
                  <c:v>176.66593173830853</c:v>
                </c:pt>
                <c:pt idx="222">
                  <c:v>176.60892913691734</c:v>
                </c:pt>
                <c:pt idx="223">
                  <c:v>176.55013967730969</c:v>
                </c:pt>
                <c:pt idx="224">
                  <c:v>176.48953297710659</c:v>
                </c:pt>
                <c:pt idx="225">
                  <c:v>176.42707774680511</c:v>
                </c:pt>
                <c:pt idx="226">
                  <c:v>176.36274177716038</c:v>
                </c:pt>
                <c:pt idx="227">
                  <c:v>176.29649192636077</c:v>
                </c:pt>
                <c:pt idx="228">
                  <c:v>176.22829410700891</c:v>
                </c:pt>
                <c:pt idx="229">
                  <c:v>176.15811327292167</c:v>
                </c:pt>
                <c:pt idx="230">
                  <c:v>176.08591340576584</c:v>
                </c:pt>
                <c:pt idx="231">
                  <c:v>176.01165750154382</c:v>
                </c:pt>
                <c:pt idx="232">
                  <c:v>175.93530755694945</c:v>
                </c:pt>
                <c:pt idx="233">
                  <c:v>175.85682455561266</c:v>
                </c:pt>
                <c:pt idx="234">
                  <c:v>175.7761684542541</c:v>
                </c:pt>
                <c:pt idx="235">
                  <c:v>175.69329816877408</c:v>
                </c:pt>
                <c:pt idx="236">
                  <c:v>175.60817156030041</c:v>
                </c:pt>
                <c:pt idx="237">
                  <c:v>175.52074542122281</c:v>
                </c:pt>
                <c:pt idx="238">
                  <c:v>175.43097546124358</c:v>
                </c:pt>
                <c:pt idx="239">
                  <c:v>175.33881629347709</c:v>
                </c:pt>
                <c:pt idx="240">
                  <c:v>175.24422142063284</c:v>
                </c:pt>
                <c:pt idx="241">
                  <c:v>175.14714322131903</c:v>
                </c:pt>
                <c:pt idx="242">
                  <c:v>175.04753293650896</c:v>
                </c:pt>
                <c:pt idx="243">
                  <c:v>174.94534065621215</c:v>
                </c:pt>
                <c:pt idx="244">
                  <c:v>174.84051530639874</c:v>
                </c:pt>
                <c:pt idx="245">
                  <c:v>174.73300463622761</c:v>
                </c:pt>
                <c:pt idx="246">
                  <c:v>174.62275520563247</c:v>
                </c:pt>
                <c:pt idx="247">
                  <c:v>174.50971237332547</c:v>
                </c:pt>
                <c:pt idx="248">
                  <c:v>174.39382028528047</c:v>
                </c:pt>
                <c:pt idx="249">
                  <c:v>174.27502186376415</c:v>
                </c:pt>
                <c:pt idx="250">
                  <c:v>174.15325879698702</c:v>
                </c:pt>
                <c:pt idx="251">
                  <c:v>174.02847152945222</c:v>
                </c:pt>
                <c:pt idx="252">
                  <c:v>173.90059925308483</c:v>
                </c:pt>
                <c:pt idx="253">
                  <c:v>173.76957989923042</c:v>
                </c:pt>
                <c:pt idx="254">
                  <c:v>173.63535013161771</c:v>
                </c:pt>
                <c:pt idx="255">
                  <c:v>173.49784534038557</c:v>
                </c:pt>
                <c:pt idx="256">
                  <c:v>173.35699963728345</c:v>
                </c:pt>
                <c:pt idx="257">
                  <c:v>173.21274585215903</c:v>
                </c:pt>
                <c:pt idx="258">
                  <c:v>173.06501553085474</c:v>
                </c:pt>
                <c:pt idx="259">
                  <c:v>172.9137389346441</c:v>
                </c:pt>
                <c:pt idx="260">
                  <c:v>172.75884504134501</c:v>
                </c:pt>
                <c:pt idx="261">
                  <c:v>172.60026154825559</c:v>
                </c:pt>
                <c:pt idx="262">
                  <c:v>172.43791487706946</c:v>
                </c:pt>
                <c:pt idx="263">
                  <c:v>172.2717301809318</c:v>
                </c:pt>
                <c:pt idx="264">
                  <c:v>172.10163135381245</c:v>
                </c:pt>
                <c:pt idx="265">
                  <c:v>171.92754104237753</c:v>
                </c:pt>
                <c:pt idx="266">
                  <c:v>171.74938066055356</c:v>
                </c:pt>
                <c:pt idx="267">
                  <c:v>171.56707040698839</c:v>
                </c:pt>
                <c:pt idx="268">
                  <c:v>171.38052928562243</c:v>
                </c:pt>
                <c:pt idx="269">
                  <c:v>171.18967512959659</c:v>
                </c:pt>
                <c:pt idx="270">
                  <c:v>170.99442462873287</c:v>
                </c:pt>
                <c:pt idx="271">
                  <c:v>170.79469336083591</c:v>
                </c:pt>
                <c:pt idx="272">
                  <c:v>170.59039582707459</c:v>
                </c:pt>
                <c:pt idx="273">
                  <c:v>170.38144549171392</c:v>
                </c:pt>
                <c:pt idx="274">
                  <c:v>170.16775482648163</c:v>
                </c:pt>
                <c:pt idx="275">
                  <c:v>169.9492353598595</c:v>
                </c:pt>
                <c:pt idx="276">
                  <c:v>169.72579773160859</c:v>
                </c:pt>
                <c:pt idx="277">
                  <c:v>169.49735175283996</c:v>
                </c:pt>
                <c:pt idx="278">
                  <c:v>169.26380647196052</c:v>
                </c:pt>
                <c:pt idx="279">
                  <c:v>169.02507024682851</c:v>
                </c:pt>
                <c:pt idx="280">
                  <c:v>168.78105082346372</c:v>
                </c:pt>
                <c:pt idx="281">
                  <c:v>168.53165542166869</c:v>
                </c:pt>
                <c:pt idx="282">
                  <c:v>168.27679082791815</c:v>
                </c:pt>
                <c:pt idx="283">
                  <c:v>168.01636349588929</c:v>
                </c:pt>
                <c:pt idx="284">
                  <c:v>167.75027965499956</c:v>
                </c:pt>
                <c:pt idx="285">
                  <c:v>167.47844542733097</c:v>
                </c:pt>
                <c:pt idx="286">
                  <c:v>167.20076695331483</c:v>
                </c:pt>
                <c:pt idx="287">
                  <c:v>166.91715052655138</c:v>
                </c:pt>
                <c:pt idx="288">
                  <c:v>166.62750273813657</c:v>
                </c:pt>
                <c:pt idx="289">
                  <c:v>166.33173063085792</c:v>
                </c:pt>
                <c:pt idx="290">
                  <c:v>166.02974186361453</c:v>
                </c:pt>
                <c:pt idx="291">
                  <c:v>165.72144488640137</c:v>
                </c:pt>
                <c:pt idx="292">
                  <c:v>165.40674912617891</c:v>
                </c:pt>
                <c:pt idx="293">
                  <c:v>165.08556518393073</c:v>
                </c:pt>
                <c:pt idx="294">
                  <c:v>164.75780504317984</c:v>
                </c:pt>
                <c:pt idx="295">
                  <c:v>164.42338229020694</c:v>
                </c:pt>
                <c:pt idx="296">
                  <c:v>164.08221234617264</c:v>
                </c:pt>
                <c:pt idx="297">
                  <c:v>163.73421271130235</c:v>
                </c:pt>
                <c:pt idx="298">
                  <c:v>163.37930322124424</c:v>
                </c:pt>
                <c:pt idx="299">
                  <c:v>163.0174063156478</c:v>
                </c:pt>
                <c:pt idx="300">
                  <c:v>162.64844731895209</c:v>
                </c:pt>
                <c:pt idx="301">
                  <c:v>162.27235473329495</c:v>
                </c:pt>
                <c:pt idx="302">
                  <c:v>161.88906054337514</c:v>
                </c:pt>
                <c:pt idx="303">
                  <c:v>161.49850053301174</c:v>
                </c:pt>
                <c:pt idx="304">
                  <c:v>161.10061461304591</c:v>
                </c:pt>
                <c:pt idx="305">
                  <c:v>160.69534716012282</c:v>
                </c:pt>
                <c:pt idx="306">
                  <c:v>160.28264736578203</c:v>
                </c:pt>
                <c:pt idx="307">
                  <c:v>159.86246959515262</c:v>
                </c:pt>
                <c:pt idx="308">
                  <c:v>159.43477375442617</c:v>
                </c:pt>
                <c:pt idx="309">
                  <c:v>158.99952566613624</c:v>
                </c:pt>
                <c:pt idx="310">
                  <c:v>158.55669745112777</c:v>
                </c:pt>
                <c:pt idx="311">
                  <c:v>158.10626791594524</c:v>
                </c:pt>
                <c:pt idx="312">
                  <c:v>157.64822294421182</c:v>
                </c:pt>
                <c:pt idx="313">
                  <c:v>157.18255589040521</c:v>
                </c:pt>
                <c:pt idx="314">
                  <c:v>156.70926797427154</c:v>
                </c:pt>
                <c:pt idx="315">
                  <c:v>156.22836867394963</c:v>
                </c:pt>
                <c:pt idx="316">
                  <c:v>155.73987611570976</c:v>
                </c:pt>
                <c:pt idx="317">
                  <c:v>155.24381745804843</c:v>
                </c:pt>
                <c:pt idx="318">
                  <c:v>154.74022926771727</c:v>
                </c:pt>
                <c:pt idx="319">
                  <c:v>154.22915788511261</c:v>
                </c:pt>
                <c:pt idx="320">
                  <c:v>153.71065977631352</c:v>
                </c:pt>
                <c:pt idx="321">
                  <c:v>153.1848018689191</c:v>
                </c:pt>
                <c:pt idx="322">
                  <c:v>152.65166186873574</c:v>
                </c:pt>
                <c:pt idx="323">
                  <c:v>152.11132855425447</c:v>
                </c:pt>
                <c:pt idx="324">
                  <c:v>151.5639020458091</c:v>
                </c:pt>
                <c:pt idx="325">
                  <c:v>151.00949404624689</c:v>
                </c:pt>
                <c:pt idx="326">
                  <c:v>150.44822804993839</c:v>
                </c:pt>
                <c:pt idx="327">
                  <c:v>149.88023951696499</c:v>
                </c:pt>
                <c:pt idx="328">
                  <c:v>149.30567600938878</c:v>
                </c:pt>
                <c:pt idx="329">
                  <c:v>148.72469728658677</c:v>
                </c:pt>
                <c:pt idx="330">
                  <c:v>148.13747535678263</c:v>
                </c:pt>
                <c:pt idx="331">
                  <c:v>147.54419448206431</c:v>
                </c:pt>
                <c:pt idx="332">
                  <c:v>146.94505113441599</c:v>
                </c:pt>
                <c:pt idx="333">
                  <c:v>146.34025390053205</c:v>
                </c:pt>
                <c:pt idx="334">
                  <c:v>145.73002333350837</c:v>
                </c:pt>
                <c:pt idx="335">
                  <c:v>145.11459174983119</c:v>
                </c:pt>
                <c:pt idx="336">
                  <c:v>144.4942029704855</c:v>
                </c:pt>
                <c:pt idx="337">
                  <c:v>143.86911200542491</c:v>
                </c:pt>
                <c:pt idx="338">
                  <c:v>143.23958468109069</c:v>
                </c:pt>
                <c:pt idx="339">
                  <c:v>142.60589721117296</c:v>
                </c:pt>
                <c:pt idx="340">
                  <c:v>141.96833571128843</c:v>
                </c:pt>
                <c:pt idx="341">
                  <c:v>141.32719565879205</c:v>
                </c:pt>
                <c:pt idx="342">
                  <c:v>140.68278129946535</c:v>
                </c:pt>
                <c:pt idx="343">
                  <c:v>140.03540500335058</c:v>
                </c:pt>
                <c:pt idx="344">
                  <c:v>139.38538657254017</c:v>
                </c:pt>
                <c:pt idx="345">
                  <c:v>138.73305250422561</c:v>
                </c:pt>
                <c:pt idx="346">
                  <c:v>138.07873521281638</c:v>
                </c:pt>
                <c:pt idx="347">
                  <c:v>137.42277221537717</c:v>
                </c:pt>
                <c:pt idx="348">
                  <c:v>136.76550528506181</c:v>
                </c:pt>
                <c:pt idx="349">
                  <c:v>136.10727957758334</c:v>
                </c:pt>
                <c:pt idx="350">
                  <c:v>135.44844273607455</c:v>
                </c:pt>
                <c:pt idx="351">
                  <c:v>134.78934397995761</c:v>
                </c:pt>
                <c:pt idx="352">
                  <c:v>134.1303331836138</c:v>
                </c:pt>
                <c:pt idx="353">
                  <c:v>133.47175995078626</c:v>
                </c:pt>
                <c:pt idx="354">
                  <c:v>132.81397269068282</c:v>
                </c:pt>
                <c:pt idx="355">
                  <c:v>132.15731770173832</c:v>
                </c:pt>
                <c:pt idx="356">
                  <c:v>131.5021382688935</c:v>
                </c:pt>
                <c:pt idx="357">
                  <c:v>130.84877378009909</c:v>
                </c:pt>
                <c:pt idx="358">
                  <c:v>130.19755886750715</c:v>
                </c:pt>
                <c:pt idx="359">
                  <c:v>129.54882257854518</c:v>
                </c:pt>
                <c:pt idx="360">
                  <c:v>128.90288758170129</c:v>
                </c:pt>
                <c:pt idx="361">
                  <c:v>128.26006941146861</c:v>
                </c:pt>
                <c:pt idx="362">
                  <c:v>127.62067575644073</c:v>
                </c:pt>
                <c:pt idx="363">
                  <c:v>126.9850057940952</c:v>
                </c:pt>
                <c:pt idx="364">
                  <c:v>126.35334957527483</c:v>
                </c:pt>
                <c:pt idx="365">
                  <c:v>125.72598746088484</c:v>
                </c:pt>
                <c:pt idx="366">
                  <c:v>125.10318961276093</c:v>
                </c:pt>
                <c:pt idx="367">
                  <c:v>124.48521554015949</c:v>
                </c:pt>
                <c:pt idx="368">
                  <c:v>123.87231370277057</c:v>
                </c:pt>
                <c:pt idx="369">
                  <c:v>123.26472117065244</c:v>
                </c:pt>
                <c:pt idx="370">
                  <c:v>122.66266334099147</c:v>
                </c:pt>
                <c:pt idx="371">
                  <c:v>122.06635371111248</c:v>
                </c:pt>
                <c:pt idx="372">
                  <c:v>121.4759937067375</c:v>
                </c:pt>
                <c:pt idx="373">
                  <c:v>120.89177256408725</c:v>
                </c:pt>
                <c:pt idx="374">
                  <c:v>120.31386726404521</c:v>
                </c:pt>
                <c:pt idx="375">
                  <c:v>119.74244251629524</c:v>
                </c:pt>
                <c:pt idx="376">
                  <c:v>119.17765079105538</c:v>
                </c:pt>
                <c:pt idx="377">
                  <c:v>118.61963239579171</c:v>
                </c:pt>
                <c:pt idx="378">
                  <c:v>118.06851559411135</c:v>
                </c:pt>
                <c:pt idx="379">
                  <c:v>117.52441676387252</c:v>
                </c:pt>
                <c:pt idx="380">
                  <c:v>116.9874405914459</c:v>
                </c:pt>
                <c:pt idx="381">
                  <c:v>116.4576802989916</c:v>
                </c:pt>
                <c:pt idx="382">
                  <c:v>115.93521790157256</c:v>
                </c:pt>
                <c:pt idx="383">
                  <c:v>115.42012449093997</c:v>
                </c:pt>
                <c:pt idx="384">
                  <c:v>114.91246054284433</c:v>
                </c:pt>
                <c:pt idx="385">
                  <c:v>114.41227624479137</c:v>
                </c:pt>
                <c:pt idx="386">
                  <c:v>113.91961184124217</c:v>
                </c:pt>
                <c:pt idx="387">
                  <c:v>113.43449799336506</c:v>
                </c:pt>
                <c:pt idx="388">
                  <c:v>112.95695615056334</c:v>
                </c:pt>
                <c:pt idx="389">
                  <c:v>112.48699893114768</c:v>
                </c:pt>
                <c:pt idx="390">
                  <c:v>112.02463050966151</c:v>
                </c:pt>
                <c:pt idx="391">
                  <c:v>111.56984700853276</c:v>
                </c:pt>
                <c:pt idx="392">
                  <c:v>111.12263689188374</c:v>
                </c:pt>
                <c:pt idx="393">
                  <c:v>110.68298135950072</c:v>
                </c:pt>
                <c:pt idx="394">
                  <c:v>110.25085473913045</c:v>
                </c:pt>
                <c:pt idx="395">
                  <c:v>109.82622487544</c:v>
                </c:pt>
                <c:pt idx="396">
                  <c:v>109.40905351413997</c:v>
                </c:pt>
                <c:pt idx="397">
                  <c:v>108.99929667993393</c:v>
                </c:pt>
                <c:pt idx="398">
                  <c:v>108.59690504711193</c:v>
                </c:pt>
                <c:pt idx="399">
                  <c:v>108.2018243017544</c:v>
                </c:pt>
                <c:pt idx="400">
                  <c:v>107.8139954946585</c:v>
                </c:pt>
                <c:pt idx="401">
                  <c:v>107.43335538423172</c:v>
                </c:pt>
                <c:pt idx="402">
                  <c:v>107.0598367687239</c:v>
                </c:pt>
                <c:pt idx="403">
                  <c:v>106.69336880729166</c:v>
                </c:pt>
                <c:pt idx="404">
                  <c:v>106.33387732949157</c:v>
                </c:pt>
                <c:pt idx="405">
                  <c:v>105.98128513290919</c:v>
                </c:pt>
                <c:pt idx="406">
                  <c:v>105.63551226871411</c:v>
                </c:pt>
                <c:pt idx="407">
                  <c:v>105.2964763150239</c:v>
                </c:pt>
                <c:pt idx="408">
                  <c:v>104.96409263802964</c:v>
                </c:pt>
                <c:pt idx="409">
                  <c:v>104.63827464090799</c:v>
                </c:pt>
                <c:pt idx="410">
                  <c:v>104.31893400060363</c:v>
                </c:pt>
                <c:pt idx="411">
                  <c:v>104.00598089262019</c:v>
                </c:pt>
                <c:pt idx="412">
                  <c:v>103.69932420400394</c:v>
                </c:pt>
                <c:pt idx="413">
                  <c:v>103.398871734746</c:v>
                </c:pt>
                <c:pt idx="414">
                  <c:v>103.10453038786304</c:v>
                </c:pt>
                <c:pt idx="415">
                  <c:v>102.81620634844499</c:v>
                </c:pt>
                <c:pt idx="416">
                  <c:v>102.53380525198239</c:v>
                </c:pt>
                <c:pt idx="417">
                  <c:v>102.25723234230927</c:v>
                </c:pt>
                <c:pt idx="418">
                  <c:v>101.9863926195038</c:v>
                </c:pt>
                <c:pt idx="419">
                  <c:v>101.72119097811355</c:v>
                </c:pt>
                <c:pt idx="420">
                  <c:v>101.46153233606695</c:v>
                </c:pt>
                <c:pt idx="421">
                  <c:v>101.20732175464705</c:v>
                </c:pt>
                <c:pt idx="422">
                  <c:v>100.95846454990306</c:v>
                </c:pt>
                <c:pt idx="423">
                  <c:v>100.71486639587235</c:v>
                </c:pt>
                <c:pt idx="424">
                  <c:v>100.47643341998956</c:v>
                </c:pt>
                <c:pt idx="425">
                  <c:v>100.24307229104888</c:v>
                </c:pt>
                <c:pt idx="426">
                  <c:v>100.01469030008467</c:v>
                </c:pt>
                <c:pt idx="427">
                  <c:v>99.791195434527623</c:v>
                </c:pt>
                <c:pt idx="428">
                  <c:v>99.572496445984356</c:v>
                </c:pt>
                <c:pt idx="429">
                  <c:v>99.358502911979699</c:v>
                </c:pt>
                <c:pt idx="430">
                  <c:v>99.149125291994551</c:v>
                </c:pt>
                <c:pt idx="431">
                  <c:v>98.944274978115871</c:v>
                </c:pt>
                <c:pt idx="432">
                  <c:v>98.743864340610529</c:v>
                </c:pt>
                <c:pt idx="433">
                  <c:v>98.547806768719298</c:v>
                </c:pt>
                <c:pt idx="434">
                  <c:v>98.356016706958911</c:v>
                </c:pt>
                <c:pt idx="435">
                  <c:v>98.168409687206903</c:v>
                </c:pt>
                <c:pt idx="436">
                  <c:v>97.984902356832876</c:v>
                </c:pt>
                <c:pt idx="437">
                  <c:v>97.805412503128792</c:v>
                </c:pt>
                <c:pt idx="438">
                  <c:v>97.629859074278912</c:v>
                </c:pt>
                <c:pt idx="439">
                  <c:v>97.458162197099327</c:v>
                </c:pt>
                <c:pt idx="440">
                  <c:v>97.290243191765484</c:v>
                </c:pt>
                <c:pt idx="441">
                  <c:v>97.126024583735443</c:v>
                </c:pt>
                <c:pt idx="442">
                  <c:v>96.965430113066475</c:v>
                </c:pt>
                <c:pt idx="443">
                  <c:v>96.808384741311912</c:v>
                </c:pt>
                <c:pt idx="444">
                  <c:v>96.654814656174921</c:v>
                </c:pt>
                <c:pt idx="445">
                  <c:v>96.504647274087361</c:v>
                </c:pt>
                <c:pt idx="446">
                  <c:v>96.357811240871612</c:v>
                </c:pt>
                <c:pt idx="447">
                  <c:v>96.214236430634301</c:v>
                </c:pt>
                <c:pt idx="448">
                  <c:v>96.073853943033569</c:v>
                </c:pt>
                <c:pt idx="449">
                  <c:v>95.936596099051386</c:v>
                </c:pt>
                <c:pt idx="450">
                  <c:v>95.802396435395991</c:v>
                </c:pt>
                <c:pt idx="451">
                  <c:v>95.67118969765194</c:v>
                </c:pt>
                <c:pt idx="452">
                  <c:v>95.542911832286919</c:v>
                </c:pt>
                <c:pt idx="453">
                  <c:v>95.417499977619059</c:v>
                </c:pt>
                <c:pt idx="454">
                  <c:v>95.294892453841328</c:v>
                </c:pt>
                <c:pt idx="455">
                  <c:v>95.175028752192631</c:v>
                </c:pt>
                <c:pt idx="456">
                  <c:v>95.057849523361853</c:v>
                </c:pt>
                <c:pt idx="457">
                  <c:v>94.943296565202132</c:v>
                </c:pt>
                <c:pt idx="458">
                  <c:v>94.831312809829953</c:v>
                </c:pt>
                <c:pt idx="459">
                  <c:v>94.721842310178047</c:v>
                </c:pt>
                <c:pt idx="460">
                  <c:v>94.614830226065891</c:v>
                </c:pt>
                <c:pt idx="461">
                  <c:v>94.510222809847065</c:v>
                </c:pt>
                <c:pt idx="462">
                  <c:v>94.407967391689766</c:v>
                </c:pt>
                <c:pt idx="463">
                  <c:v>94.308012364541497</c:v>
                </c:pt>
                <c:pt idx="464">
                  <c:v>94.210307168825352</c:v>
                </c:pt>
                <c:pt idx="465">
                  <c:v>94.114802276913395</c:v>
                </c:pt>
                <c:pt idx="466">
                  <c:v>94.021449177416386</c:v>
                </c:pt>
                <c:pt idx="467">
                  <c:v>93.93020035932976</c:v>
                </c:pt>
                <c:pt idx="468">
                  <c:v>93.841009296068961</c:v>
                </c:pt>
                <c:pt idx="469">
                  <c:v>93.753830429428021</c:v>
                </c:pt>
                <c:pt idx="470">
                  <c:v>93.668619153489942</c:v>
                </c:pt>
                <c:pt idx="471">
                  <c:v>93.585331798516833</c:v>
                </c:pt>
                <c:pt idx="472">
                  <c:v>93.503925614845173</c:v>
                </c:pt>
                <c:pt idx="473">
                  <c:v>93.424358756808104</c:v>
                </c:pt>
                <c:pt idx="474">
                  <c:v>93.34659026670731</c:v>
                </c:pt>
                <c:pt idx="475">
                  <c:v>93.270580058852332</c:v>
                </c:pt>
                <c:pt idx="476">
                  <c:v>93.196288903685996</c:v>
                </c:pt>
                <c:pt idx="477">
                  <c:v>93.123678412011017</c:v>
                </c:pt>
                <c:pt idx="478">
                  <c:v>93.052711019332619</c:v>
                </c:pt>
                <c:pt idx="479">
                  <c:v>92.983349970330337</c:v>
                </c:pt>
                <c:pt idx="480">
                  <c:v>92.915559303470459</c:v>
                </c:pt>
                <c:pt idx="481">
                  <c:v>92.849303835769845</c:v>
                </c:pt>
                <c:pt idx="482">
                  <c:v>92.784549147720696</c:v>
                </c:pt>
                <c:pt idx="483">
                  <c:v>92.721261568384506</c:v>
                </c:pt>
                <c:pt idx="484">
                  <c:v>92.659408160662593</c:v>
                </c:pt>
                <c:pt idx="485">
                  <c:v>92.598956706750243</c:v>
                </c:pt>
                <c:pt idx="486">
                  <c:v>92.539875693779408</c:v>
                </c:pt>
                <c:pt idx="487">
                  <c:v>92.482134299655854</c:v>
                </c:pt>
                <c:pt idx="488">
                  <c:v>92.425702379094091</c:v>
                </c:pt>
                <c:pt idx="489">
                  <c:v>92.370550449854591</c:v>
                </c:pt>
                <c:pt idx="490">
                  <c:v>92.316649679185616</c:v>
                </c:pt>
                <c:pt idx="491">
                  <c:v>92.26397187047229</c:v>
                </c:pt>
                <c:pt idx="492">
                  <c:v>92.212489450094978</c:v>
                </c:pt>
                <c:pt idx="493">
                  <c:v>92.162175454498509</c:v>
                </c:pt>
                <c:pt idx="494">
                  <c:v>92.113003517472663</c:v>
                </c:pt>
                <c:pt idx="495">
                  <c:v>92.064947857645379</c:v>
                </c:pt>
                <c:pt idx="496">
                  <c:v>92.017983266188239</c:v>
                </c:pt>
                <c:pt idx="497">
                  <c:v>91.972085094734524</c:v>
                </c:pt>
                <c:pt idx="498">
                  <c:v>91.92722924350926</c:v>
                </c:pt>
                <c:pt idx="499">
                  <c:v>91.88339214967074</c:v>
                </c:pt>
                <c:pt idx="500">
                  <c:v>91.840550775862368</c:v>
                </c:pt>
                <c:pt idx="501">
                  <c:v>91.79868259897394</c:v>
                </c:pt>
                <c:pt idx="502">
                  <c:v>91.757765599110556</c:v>
                </c:pt>
                <c:pt idx="503">
                  <c:v>91.717778248768283</c:v>
                </c:pt>
                <c:pt idx="504">
                  <c:v>91.678699502213973</c:v>
                </c:pt>
                <c:pt idx="505">
                  <c:v>91.640508785068107</c:v>
                </c:pt>
                <c:pt idx="506">
                  <c:v>91.603185984088086</c:v>
                </c:pt>
                <c:pt idx="507">
                  <c:v>91.566711437150246</c:v>
                </c:pt>
                <c:pt idx="508">
                  <c:v>91.531065923427946</c:v>
                </c:pt>
                <c:pt idx="509">
                  <c:v>91.496230653763561</c:v>
                </c:pt>
                <c:pt idx="510">
                  <c:v>91.462187261232074</c:v>
                </c:pt>
                <c:pt idx="511">
                  <c:v>91.428917791893355</c:v>
                </c:pt>
                <c:pt idx="512">
                  <c:v>91.396404695730993</c:v>
                </c:pt>
                <c:pt idx="513">
                  <c:v>91.364630817774568</c:v>
                </c:pt>
                <c:pt idx="514">
                  <c:v>91.333579389403241</c:v>
                </c:pt>
                <c:pt idx="515">
                  <c:v>91.303234019827428</c:v>
                </c:pt>
                <c:pt idx="516">
                  <c:v>91.273578687745911</c:v>
                </c:pt>
                <c:pt idx="517">
                  <c:v>91.244597733176079</c:v>
                </c:pt>
                <c:pt idx="518">
                  <c:v>91.21627584945368</c:v>
                </c:pt>
                <c:pt idx="519">
                  <c:v>91.188598075400094</c:v>
                </c:pt>
                <c:pt idx="520">
                  <c:v>91.16154978765374</c:v>
                </c:pt>
                <c:pt idx="521">
                  <c:v>91.13511669316307</c:v>
                </c:pt>
                <c:pt idx="522">
                  <c:v>91.10928482183833</c:v>
                </c:pt>
                <c:pt idx="523">
                  <c:v>91.084040519359206</c:v>
                </c:pt>
                <c:pt idx="524">
                  <c:v>91.059370440135496</c:v>
                </c:pt>
                <c:pt idx="525">
                  <c:v>91.035261540418318</c:v>
                </c:pt>
                <c:pt idx="526">
                  <c:v>91.011701071558718</c:v>
                </c:pt>
                <c:pt idx="527">
                  <c:v>90.988676573411212</c:v>
                </c:pt>
                <c:pt idx="528">
                  <c:v>90.966175867879357</c:v>
                </c:pt>
                <c:pt idx="529">
                  <c:v>90.944187052600839</c:v>
                </c:pt>
                <c:pt idx="530">
                  <c:v>90.922698494769122</c:v>
                </c:pt>
                <c:pt idx="531">
                  <c:v>90.901698825089383</c:v>
                </c:pt>
                <c:pt idx="532">
                  <c:v>90.881176931865838</c:v>
                </c:pt>
                <c:pt idx="533">
                  <c:v>90.86112195521784</c:v>
                </c:pt>
                <c:pt idx="534">
                  <c:v>90.841523281422525</c:v>
                </c:pt>
                <c:pt idx="535">
                  <c:v>90.822370537381104</c:v>
                </c:pt>
                <c:pt idx="536">
                  <c:v>90.803653585206547</c:v>
                </c:pt>
                <c:pt idx="537">
                  <c:v>90.785362516930093</c:v>
                </c:pt>
                <c:pt idx="538">
                  <c:v>90.767487649324295</c:v>
                </c:pt>
                <c:pt idx="539">
                  <c:v>90.75001951884002</c:v>
                </c:pt>
                <c:pt idx="540">
                  <c:v>90.732948876655328</c:v>
                </c:pt>
                <c:pt idx="541">
                  <c:v>90.716266683833567</c:v>
                </c:pt>
              </c:numCache>
            </c:numRef>
          </c:yVal>
          <c:smooth val="1"/>
          <c:extLst>
            <c:ext xmlns:c16="http://schemas.microsoft.com/office/drawing/2014/chart" uri="{C3380CC4-5D6E-409C-BE32-E72D297353CC}">
              <c16:uniqueId val="{00000001-C95D-4273-8D1D-E8C586949522}"/>
            </c:ext>
          </c:extLst>
        </c:ser>
        <c:dLbls>
          <c:showLegendKey val="0"/>
          <c:showVal val="0"/>
          <c:showCatName val="0"/>
          <c:showSerName val="0"/>
          <c:showPercent val="0"/>
          <c:showBubbleSize val="0"/>
        </c:dLbls>
        <c:axId val="160545024"/>
        <c:axId val="160543488"/>
      </c:scatterChart>
      <c:valAx>
        <c:axId val="160531200"/>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0533120"/>
        <c:crosses val="autoZero"/>
        <c:crossBetween val="midCat"/>
      </c:valAx>
      <c:valAx>
        <c:axId val="160533120"/>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160531200"/>
        <c:crosses val="autoZero"/>
        <c:crossBetween val="midCat"/>
        <c:majorUnit val="20"/>
        <c:minorUnit val="10"/>
      </c:valAx>
      <c:valAx>
        <c:axId val="160543488"/>
        <c:scaling>
          <c:orientation val="minMax"/>
          <c:max val="180"/>
          <c:min val="-180"/>
        </c:scaling>
        <c:delete val="0"/>
        <c:axPos val="r"/>
        <c:numFmt formatCode="General" sourceLinked="1"/>
        <c:majorTickMark val="out"/>
        <c:minorTickMark val="none"/>
        <c:tickLblPos val="nextTo"/>
        <c:crossAx val="160545024"/>
        <c:crosses val="max"/>
        <c:crossBetween val="midCat"/>
        <c:majorUnit val="90"/>
        <c:minorUnit val="45"/>
      </c:valAx>
      <c:valAx>
        <c:axId val="160545024"/>
        <c:scaling>
          <c:logBase val="10"/>
          <c:orientation val="minMax"/>
        </c:scaling>
        <c:delete val="1"/>
        <c:axPos val="b"/>
        <c:numFmt formatCode="0.00" sourceLinked="1"/>
        <c:majorTickMark val="out"/>
        <c:minorTickMark val="none"/>
        <c:tickLblPos val="nextTo"/>
        <c:crossAx val="160543488"/>
        <c:crosses val="autoZero"/>
        <c:crossBetween val="midCat"/>
      </c:valAx>
    </c:plotArea>
    <c:legend>
      <c:legendPos val="r"/>
      <c:layout>
        <c:manualLayout>
          <c:xMode val="edge"/>
          <c:yMode val="edge"/>
          <c:x val="0.79880558209512509"/>
          <c:y val="0.14321997959862004"/>
          <c:w val="0.13485048155591431"/>
          <c:h val="0.10528624969913696"/>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Control Loop Transfer Function</a:t>
            </a:r>
          </a:p>
        </c:rich>
      </c:tx>
      <c:overlay val="0"/>
    </c:title>
    <c:autoTitleDeleted val="0"/>
    <c:plotArea>
      <c:layout/>
      <c:scatterChart>
        <c:scatterStyle val="smoothMarker"/>
        <c:varyColors val="0"/>
        <c:ser>
          <c:idx val="0"/>
          <c:order val="0"/>
          <c:tx>
            <c:v>Gain (dB)</c:v>
          </c:tx>
          <c:spPr>
            <a:ln w="38100">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Loop_Modeling!$AT$19:$AT$560</c:f>
              <c:numCache>
                <c:formatCode>0.000</c:formatCode>
                <c:ptCount val="542"/>
                <c:pt idx="0">
                  <c:v>53.923572287798542</c:v>
                </c:pt>
                <c:pt idx="1">
                  <c:v>53.601820999731373</c:v>
                </c:pt>
                <c:pt idx="2">
                  <c:v>53.282271434063745</c:v>
                </c:pt>
                <c:pt idx="3">
                  <c:v>52.9649436519312</c:v>
                </c:pt>
                <c:pt idx="4">
                  <c:v>52.649855595106075</c:v>
                </c:pt>
                <c:pt idx="5">
                  <c:v>52.337023013974147</c:v>
                </c:pt>
                <c:pt idx="6">
                  <c:v>52.026459403624692</c:v>
                </c:pt>
                <c:pt idx="7">
                  <c:v>51.718175948605932</c:v>
                </c:pt>
                <c:pt idx="8">
                  <c:v>51.412181476826376</c:v>
                </c:pt>
                <c:pt idx="9">
                  <c:v>51.108482423009825</c:v>
                </c:pt>
                <c:pt idx="10">
                  <c:v>50.807082802028432</c:v>
                </c:pt>
                <c:pt idx="11">
                  <c:v>50.507984192354257</c:v>
                </c:pt>
                <c:pt idx="12">
                  <c:v>50.211185729779402</c:v>
                </c:pt>
                <c:pt idx="13">
                  <c:v>49.91668411146162</c:v>
                </c:pt>
                <c:pt idx="14">
                  <c:v>49.624473610261866</c:v>
                </c:pt>
                <c:pt idx="15">
                  <c:v>49.334546099244825</c:v>
                </c:pt>
                <c:pt idx="16">
                  <c:v>49.046891086126706</c:v>
                </c:pt>
                <c:pt idx="17">
                  <c:v>48.761495757363861</c:v>
                </c:pt>
                <c:pt idx="18">
                  <c:v>48.478345031496779</c:v>
                </c:pt>
                <c:pt idx="19">
                  <c:v>48.197421621284022</c:v>
                </c:pt>
                <c:pt idx="20">
                  <c:v>47.918706104094696</c:v>
                </c:pt>
                <c:pt idx="21">
                  <c:v>47.642176999962246</c:v>
                </c:pt>
                <c:pt idx="22">
                  <c:v>47.367810856652184</c:v>
                </c:pt>
                <c:pt idx="23">
                  <c:v>47.095582341049571</c:v>
                </c:pt>
                <c:pt idx="24">
                  <c:v>46.825464336138396</c:v>
                </c:pt>
                <c:pt idx="25">
                  <c:v>46.55742804281897</c:v>
                </c:pt>
                <c:pt idx="26">
                  <c:v>46.291443085794448</c:v>
                </c:pt>
                <c:pt idx="27">
                  <c:v>46.027477622749721</c:v>
                </c:pt>
                <c:pt idx="28">
                  <c:v>45.765498456048533</c:v>
                </c:pt>
                <c:pt idx="29">
                  <c:v>45.505471146189834</c:v>
                </c:pt>
                <c:pt idx="30">
                  <c:v>45.247360126275368</c:v>
                </c:pt>
                <c:pt idx="31">
                  <c:v>44.991128816775927</c:v>
                </c:pt>
                <c:pt idx="32">
                  <c:v>44.736739739909417</c:v>
                </c:pt>
                <c:pt idx="33">
                  <c:v>44.484154632985657</c:v>
                </c:pt>
                <c:pt idx="34">
                  <c:v>44.233334560116063</c:v>
                </c:pt>
                <c:pt idx="35">
                  <c:v>43.984240021729455</c:v>
                </c:pt>
                <c:pt idx="36">
                  <c:v>43.736831061390149</c:v>
                </c:pt>
                <c:pt idx="37">
                  <c:v>43.491067369461277</c:v>
                </c:pt>
                <c:pt idx="38">
                  <c:v>43.24690838321164</c:v>
                </c:pt>
                <c:pt idx="39">
                  <c:v>43.004313383017632</c:v>
                </c:pt>
                <c:pt idx="40">
                  <c:v>42.763241584361182</c:v>
                </c:pt>
                <c:pt idx="41">
                  <c:v>42.523652225382193</c:v>
                </c:pt>
                <c:pt idx="42">
                  <c:v>42.28550464978774</c:v>
                </c:pt>
                <c:pt idx="43">
                  <c:v>42.048758384972551</c:v>
                </c:pt>
                <c:pt idx="44">
                  <c:v>41.813373215249655</c:v>
                </c:pt>
                <c:pt idx="45">
                  <c:v>41.579309250131956</c:v>
                </c:pt>
                <c:pt idx="46">
                  <c:v>41.346526987647003</c:v>
                </c:pt>
                <c:pt idx="47">
                  <c:v>41.11498737270044</c:v>
                </c:pt>
                <c:pt idx="48">
                  <c:v>40.884651850540934</c:v>
                </c:pt>
                <c:pt idx="49">
                  <c:v>40.655482415405373</c:v>
                </c:pt>
                <c:pt idx="50">
                  <c:v>40.42744165444973</c:v>
                </c:pt>
                <c:pt idx="51">
                  <c:v>40.200492787097346</c:v>
                </c:pt>
                <c:pt idx="52">
                  <c:v>39.974599699949536</c:v>
                </c:pt>
                <c:pt idx="53">
                  <c:v>39.749726977426285</c:v>
                </c:pt>
                <c:pt idx="54">
                  <c:v>39.525839928313992</c:v>
                </c:pt>
                <c:pt idx="55">
                  <c:v>39.302904608408873</c:v>
                </c:pt>
                <c:pt idx="56">
                  <c:v>39.080887839453055</c:v>
                </c:pt>
                <c:pt idx="57">
                  <c:v>38.859757224566081</c:v>
                </c:pt>
                <c:pt idx="58">
                  <c:v>38.639481160376306</c:v>
                </c:pt>
                <c:pt idx="59">
                  <c:v>38.420028846059665</c:v>
                </c:pt>
                <c:pt idx="60">
                  <c:v>38.20137028949302</c:v>
                </c:pt>
                <c:pt idx="61">
                  <c:v>37.983476310724541</c:v>
                </c:pt>
                <c:pt idx="62">
                  <c:v>37.7663185429642</c:v>
                </c:pt>
                <c:pt idx="63">
                  <c:v>37.549869431290489</c:v>
                </c:pt>
                <c:pt idx="64">
                  <c:v>37.334102229263308</c:v>
                </c:pt>
                <c:pt idx="65">
                  <c:v>37.118990993628806</c:v>
                </c:pt>
                <c:pt idx="66">
                  <c:v>36.904510577293834</c:v>
                </c:pt>
                <c:pt idx="67">
                  <c:v>36.690636620739454</c:v>
                </c:pt>
                <c:pt idx="68">
                  <c:v>36.477345542036474</c:v>
                </c:pt>
                <c:pt idx="69">
                  <c:v>36.264614525616132</c:v>
                </c:pt>
                <c:pt idx="70">
                  <c:v>36.052421509942882</c:v>
                </c:pt>
                <c:pt idx="71">
                  <c:v>35.840745174224978</c:v>
                </c:pt>
                <c:pt idx="72">
                  <c:v>35.629564924292659</c:v>
                </c:pt>
                <c:pt idx="73">
                  <c:v>35.418860877764459</c:v>
                </c:pt>
                <c:pt idx="74">
                  <c:v>35.20861384861275</c:v>
                </c:pt>
                <c:pt idx="75">
                  <c:v>34.998805331233669</c:v>
                </c:pt>
                <c:pt idx="76">
                  <c:v>34.789417484117607</c:v>
                </c:pt>
                <c:pt idx="77">
                  <c:v>34.580433113208805</c:v>
                </c:pt>
                <c:pt idx="78">
                  <c:v>34.371835655035817</c:v>
                </c:pt>
                <c:pt idx="79">
                  <c:v>34.163609159687468</c:v>
                </c:pt>
                <c:pt idx="80">
                  <c:v>33.955738273702138</c:v>
                </c:pt>
                <c:pt idx="81">
                  <c:v>33.748208222932263</c:v>
                </c:pt>
                <c:pt idx="82">
                  <c:v>33.541004795439903</c:v>
                </c:pt>
                <c:pt idx="83">
                  <c:v>33.334114324473354</c:v>
                </c:pt>
                <c:pt idx="84">
                  <c:v>33.12752367157016</c:v>
                </c:pt>
                <c:pt idx="85">
                  <c:v>32.921220209825591</c:v>
                </c:pt>
                <c:pt idx="86">
                  <c:v>32.715191807362935</c:v>
                </c:pt>
                <c:pt idx="87">
                  <c:v>32.509426811036882</c:v>
                </c:pt>
                <c:pt idx="88">
                  <c:v>32.303914030395603</c:v>
                </c:pt>
                <c:pt idx="89">
                  <c:v>32.098642721926808</c:v>
                </c:pt>
                <c:pt idx="90">
                  <c:v>31.893602573606771</c:v>
                </c:pt>
                <c:pt idx="91">
                  <c:v>31.688783689769672</c:v>
                </c:pt>
                <c:pt idx="92">
                  <c:v>31.484176576311231</c:v>
                </c:pt>
                <c:pt idx="93">
                  <c:v>31.279772126238129</c:v>
                </c:pt>
                <c:pt idx="94">
                  <c:v>31.075561605572169</c:v>
                </c:pt>
                <c:pt idx="95">
                  <c:v>30.871536639616618</c:v>
                </c:pt>
                <c:pt idx="96">
                  <c:v>30.667689199588825</c:v>
                </c:pt>
                <c:pt idx="97">
                  <c:v>30.464011589623247</c:v>
                </c:pt>
                <c:pt idx="98">
                  <c:v>30.260496434145672</c:v>
                </c:pt>
                <c:pt idx="99">
                  <c:v>30.057136665619314</c:v>
                </c:pt>
                <c:pt idx="100">
                  <c:v>29.853925512661206</c:v>
                </c:pt>
                <c:pt idx="101">
                  <c:v>29.650856488527495</c:v>
                </c:pt>
                <c:pt idx="102">
                  <c:v>29.447923379963061</c:v>
                </c:pt>
                <c:pt idx="103">
                  <c:v>29.245120236412721</c:v>
                </c:pt>
                <c:pt idx="104">
                  <c:v>29.042441359588075</c:v>
                </c:pt>
                <c:pt idx="105">
                  <c:v>28.839881293385162</c:v>
                </c:pt>
                <c:pt idx="106">
                  <c:v>28.637434814145635</c:v>
                </c:pt>
                <c:pt idx="107">
                  <c:v>28.435096921256861</c:v>
                </c:pt>
                <c:pt idx="108">
                  <c:v>28.23286282808192</c:v>
                </c:pt>
                <c:pt idx="109">
                  <c:v>28.030727953212708</c:v>
                </c:pt>
                <c:pt idx="110">
                  <c:v>27.828687912039225</c:v>
                </c:pt>
                <c:pt idx="111">
                  <c:v>27.6267385086263</c:v>
                </c:pt>
                <c:pt idx="112">
                  <c:v>27.424875727890552</c:v>
                </c:pt>
                <c:pt idx="113">
                  <c:v>27.223095728067669</c:v>
                </c:pt>
                <c:pt idx="114">
                  <c:v>27.021394833464747</c:v>
                </c:pt>
                <c:pt idx="115">
                  <c:v>26.819769527486791</c:v>
                </c:pt>
                <c:pt idx="116">
                  <c:v>26.618216445929683</c:v>
                </c:pt>
                <c:pt idx="117">
                  <c:v>26.416732370532895</c:v>
                </c:pt>
                <c:pt idx="118">
                  <c:v>26.215314222781686</c:v>
                </c:pt>
                <c:pt idx="119">
                  <c:v>26.013959057951567</c:v>
                </c:pt>
                <c:pt idx="120">
                  <c:v>25.81266405938802</c:v>
                </c:pt>
                <c:pt idx="121">
                  <c:v>25.611426533011365</c:v>
                </c:pt>
                <c:pt idx="122">
                  <c:v>25.410243902041131</c:v>
                </c:pt>
                <c:pt idx="123">
                  <c:v>25.209113701930516</c:v>
                </c:pt>
                <c:pt idx="124">
                  <c:v>25.00803357550534</c:v>
                </c:pt>
                <c:pt idx="125">
                  <c:v>24.807001268297782</c:v>
                </c:pt>
                <c:pt idx="126">
                  <c:v>24.606014624070262</c:v>
                </c:pt>
                <c:pt idx="127">
                  <c:v>24.405071580520442</c:v>
                </c:pt>
                <c:pt idx="128">
                  <c:v>24.204170165161205</c:v>
                </c:pt>
                <c:pt idx="129">
                  <c:v>24.003308491370206</c:v>
                </c:pt>
                <c:pt idx="130">
                  <c:v>23.802484754599647</c:v>
                </c:pt>
                <c:pt idx="131">
                  <c:v>23.601697228742864</c:v>
                </c:pt>
                <c:pt idx="132">
                  <c:v>23.400944262650171</c:v>
                </c:pt>
                <c:pt idx="133">
                  <c:v>23.20022427678844</c:v>
                </c:pt>
                <c:pt idx="134">
                  <c:v>22.999535760037567</c:v>
                </c:pt>
                <c:pt idx="135">
                  <c:v>22.798877266621037</c:v>
                </c:pt>
                <c:pt idx="136">
                  <c:v>22.598247413161438</c:v>
                </c:pt>
                <c:pt idx="137">
                  <c:v>22.397644875858912</c:v>
                </c:pt>
                <c:pt idx="138">
                  <c:v>22.19706838778519</c:v>
                </c:pt>
                <c:pt idx="139">
                  <c:v>21.99651673629058</c:v>
                </c:pt>
                <c:pt idx="140">
                  <c:v>21.79598876051681</c:v>
                </c:pt>
                <c:pt idx="141">
                  <c:v>21.595483349012468</c:v>
                </c:pt>
                <c:pt idx="142">
                  <c:v>21.394999437446959</c:v>
                </c:pt>
                <c:pt idx="143">
                  <c:v>21.194536006417831</c:v>
                </c:pt>
                <c:pt idx="144">
                  <c:v>20.994092079347631</c:v>
                </c:pt>
                <c:pt idx="145">
                  <c:v>20.793666720466639</c:v>
                </c:pt>
                <c:pt idx="146">
                  <c:v>20.59325903287742</c:v>
                </c:pt>
                <c:pt idx="147">
                  <c:v>20.392868156697247</c:v>
                </c:pt>
                <c:pt idx="148">
                  <c:v>20.192493267275601</c:v>
                </c:pt>
                <c:pt idx="149">
                  <c:v>19.992133573482182</c:v>
                </c:pt>
                <c:pt idx="150">
                  <c:v>19.791788316063418</c:v>
                </c:pt>
                <c:pt idx="151">
                  <c:v>19.591456766063118</c:v>
                </c:pt>
                <c:pt idx="152">
                  <c:v>19.391138223304718</c:v>
                </c:pt>
                <c:pt idx="153">
                  <c:v>19.190832014932194</c:v>
                </c:pt>
                <c:pt idx="154">
                  <c:v>18.990537494006713</c:v>
                </c:pt>
                <c:pt idx="155">
                  <c:v>18.790254038156249</c:v>
                </c:pt>
                <c:pt idx="156">
                  <c:v>18.589981048274815</c:v>
                </c:pt>
                <c:pt idx="157">
                  <c:v>18.389717947270277</c:v>
                </c:pt>
                <c:pt idx="158">
                  <c:v>18.1894641788565</c:v>
                </c:pt>
                <c:pt idx="159">
                  <c:v>17.989219206388562</c:v>
                </c:pt>
                <c:pt idx="160">
                  <c:v>17.788982511738443</c:v>
                </c:pt>
                <c:pt idx="161">
                  <c:v>17.588753594208267</c:v>
                </c:pt>
                <c:pt idx="162">
                  <c:v>17.388531969480063</c:v>
                </c:pt>
                <c:pt idx="163">
                  <c:v>17.188317168598903</c:v>
                </c:pt>
                <c:pt idx="164">
                  <c:v>16.988108736987989</c:v>
                </c:pt>
                <c:pt idx="165">
                  <c:v>16.787906233492972</c:v>
                </c:pt>
                <c:pt idx="166">
                  <c:v>16.587709229454699</c:v>
                </c:pt>
                <c:pt idx="167">
                  <c:v>16.387517307807016</c:v>
                </c:pt>
                <c:pt idx="168">
                  <c:v>16.187330062199162</c:v>
                </c:pt>
                <c:pt idx="169">
                  <c:v>15.987147096140182</c:v>
                </c:pt>
                <c:pt idx="170">
                  <c:v>15.786968022163364</c:v>
                </c:pt>
                <c:pt idx="171">
                  <c:v>15.586792461010184</c:v>
                </c:pt>
                <c:pt idx="172">
                  <c:v>15.386620040830284</c:v>
                </c:pt>
                <c:pt idx="173">
                  <c:v>15.186450396397591</c:v>
                </c:pt>
                <c:pt idx="174">
                  <c:v>14.986283168339867</c:v>
                </c:pt>
                <c:pt idx="175">
                  <c:v>14.78611800238019</c:v>
                </c:pt>
                <c:pt idx="176">
                  <c:v>14.585954548589253</c:v>
                </c:pt>
                <c:pt idx="177">
                  <c:v>14.385792460646767</c:v>
                </c:pt>
                <c:pt idx="178">
                  <c:v>14.185631395109858</c:v>
                </c:pt>
                <c:pt idx="179">
                  <c:v>13.985471010688054</c:v>
                </c:pt>
                <c:pt idx="180">
                  <c:v>13.785310967521799</c:v>
                </c:pt>
                <c:pt idx="181">
                  <c:v>13.58515092646517</c:v>
                </c:pt>
                <c:pt idx="182">
                  <c:v>13.384990548368528</c:v>
                </c:pt>
                <c:pt idx="183">
                  <c:v>13.184829493362248</c:v>
                </c:pt>
                <c:pt idx="184">
                  <c:v>12.984667420138496</c:v>
                </c:pt>
                <c:pt idx="185">
                  <c:v>12.784503985229739</c:v>
                </c:pt>
                <c:pt idx="186">
                  <c:v>12.584338842282815</c:v>
                </c:pt>
                <c:pt idx="187">
                  <c:v>12.384171641327249</c:v>
                </c:pt>
                <c:pt idx="188">
                  <c:v>12.184002028035199</c:v>
                </c:pt>
                <c:pt idx="189">
                  <c:v>11.983829642972958</c:v>
                </c:pt>
                <c:pt idx="190">
                  <c:v>11.783654120841319</c:v>
                </c:pt>
                <c:pt idx="191">
                  <c:v>11.583475089703764</c:v>
                </c:pt>
                <c:pt idx="192">
                  <c:v>11.383292170200436</c:v>
                </c:pt>
                <c:pt idx="193">
                  <c:v>11.183104974747216</c:v>
                </c:pt>
                <c:pt idx="194">
                  <c:v>10.982913106716577</c:v>
                </c:pt>
                <c:pt idx="195">
                  <c:v>10.782716159600438</c:v>
                </c:pt>
                <c:pt idx="196">
                  <c:v>10.582513716151439</c:v>
                </c:pt>
                <c:pt idx="197">
                  <c:v>10.382305347502765</c:v>
                </c:pt>
                <c:pt idx="198">
                  <c:v>10.182090612262495</c:v>
                </c:pt>
                <c:pt idx="199">
                  <c:v>9.9818690555824432</c:v>
                </c:pt>
                <c:pt idx="200">
                  <c:v>9.7816402081989615</c:v>
                </c:pt>
                <c:pt idx="201">
                  <c:v>9.5814035854431694</c:v>
                </c:pt>
                <c:pt idx="202">
                  <c:v>9.3811586862192939</c:v>
                </c:pt>
                <c:pt idx="203">
                  <c:v>9.1809049919483705</c:v>
                </c:pt>
                <c:pt idx="204">
                  <c:v>8.9806419654764742</c:v>
                </c:pt>
                <c:pt idx="205">
                  <c:v>8.7803690499425162</c:v>
                </c:pt>
                <c:pt idx="206">
                  <c:v>8.5800856676067472</c:v>
                </c:pt>
                <c:pt idx="207">
                  <c:v>8.3797912186346899</c:v>
                </c:pt>
                <c:pt idx="208">
                  <c:v>8.1794850798352137</c:v>
                </c:pt>
                <c:pt idx="209">
                  <c:v>7.9791666033507713</c:v>
                </c:pt>
                <c:pt idx="210">
                  <c:v>7.7788351152953883</c:v>
                </c:pt>
                <c:pt idx="211">
                  <c:v>7.5784899143394489</c:v>
                </c:pt>
                <c:pt idx="212">
                  <c:v>7.3781302702371132</c:v>
                </c:pt>
                <c:pt idx="213">
                  <c:v>7.1777554222937967</c:v>
                </c:pt>
                <c:pt idx="214">
                  <c:v>6.9773645777712545</c:v>
                </c:pt>
                <c:pt idx="215">
                  <c:v>6.7769569102256977</c:v>
                </c:pt>
                <c:pt idx="216">
                  <c:v>6.5765315577763399</c:v>
                </c:pt>
                <c:pt idx="217">
                  <c:v>6.3760876213017461</c:v>
                </c:pt>
                <c:pt idx="218">
                  <c:v>6.1756241625581465</c:v>
                </c:pt>
                <c:pt idx="219">
                  <c:v>5.97514020221805</c:v>
                </c:pt>
                <c:pt idx="220">
                  <c:v>5.7746347178245312</c:v>
                </c:pt>
                <c:pt idx="221">
                  <c:v>5.5741066416564884</c:v>
                </c:pt>
                <c:pt idx="222">
                  <c:v>5.3735548585016337</c:v>
                </c:pt>
                <c:pt idx="223">
                  <c:v>5.1729782033319189</c:v>
                </c:pt>
                <c:pt idx="224">
                  <c:v>4.9723754588777238</c:v>
                </c:pt>
                <c:pt idx="225">
                  <c:v>4.7717453530945075</c:v>
                </c:pt>
                <c:pt idx="226">
                  <c:v>4.5710865565194938</c:v>
                </c:pt>
                <c:pt idx="227">
                  <c:v>4.3703976795103046</c:v>
                </c:pt>
                <c:pt idx="228">
                  <c:v>4.1696772693621433</c:v>
                </c:pt>
                <c:pt idx="229">
                  <c:v>3.9689238072978328</c:v>
                </c:pt>
                <c:pt idx="230">
                  <c:v>3.7681357053228974</c:v>
                </c:pt>
                <c:pt idx="231">
                  <c:v>3.5673113029434922</c:v>
                </c:pt>
                <c:pt idx="232">
                  <c:v>3.3664488637361334</c:v>
                </c:pt>
                <c:pt idx="233">
                  <c:v>3.1655465717672113</c:v>
                </c:pt>
                <c:pt idx="234">
                  <c:v>2.9646025278520853</c:v>
                </c:pt>
                <c:pt idx="235">
                  <c:v>2.7636147456490523</c:v>
                </c:pt>
                <c:pt idx="236">
                  <c:v>2.5625811475793143</c:v>
                </c:pt>
                <c:pt idx="237">
                  <c:v>2.3614995605663607</c:v>
                </c:pt>
                <c:pt idx="238">
                  <c:v>2.1603677115863298</c:v>
                </c:pt>
                <c:pt idx="239">
                  <c:v>1.9591832230218347</c:v>
                </c:pt>
                <c:pt idx="240">
                  <c:v>1.7579436078098685</c:v>
                </c:pt>
                <c:pt idx="241">
                  <c:v>1.556646264375698</c:v>
                </c:pt>
                <c:pt idx="242">
                  <c:v>1.3552884713433802</c:v>
                </c:pt>
                <c:pt idx="243">
                  <c:v>1.1538673820140564</c:v>
                </c:pt>
                <c:pt idx="244">
                  <c:v>0.95238001860120303</c:v>
                </c:pt>
                <c:pt idx="245">
                  <c:v>0.75082326621346462</c:v>
                </c:pt>
                <c:pt idx="246">
                  <c:v>0.54919386657546709</c:v>
                </c:pt>
                <c:pt idx="247">
                  <c:v>0.34748841147324061</c:v>
                </c:pt>
                <c:pt idx="248">
                  <c:v>0.14570333591612716</c:v>
                </c:pt>
                <c:pt idx="249">
                  <c:v>-5.616508899749114E-2</c:v>
                </c:pt>
                <c:pt idx="250">
                  <c:v>-0.25812076352439017</c:v>
                </c:pt>
                <c:pt idx="251">
                  <c:v>-0.46016776703848739</c:v>
                </c:pt>
                <c:pt idx="252">
                  <c:v>-0.66231036612862382</c:v>
                </c:pt>
                <c:pt idx="253">
                  <c:v>-0.86455302303991444</c:v>
                </c:pt>
                <c:pt idx="254">
                  <c:v>-1.0669004044758892</c:v>
                </c:pt>
                <c:pt idx="255">
                  <c:v>-1.2693573907732532</c:v>
                </c:pt>
                <c:pt idx="256">
                  <c:v>-1.4719290854636038</c:v>
                </c:pt>
                <c:pt idx="257">
                  <c:v>-1.6746208252370094</c:v>
                </c:pt>
                <c:pt idx="258">
                  <c:v>-1.8774381903217865</c:v>
                </c:pt>
                <c:pt idx="259">
                  <c:v>-2.0803870152961883</c:v>
                </c:pt>
                <c:pt idx="260">
                  <c:v>-2.2834734003464394</c:v>
                </c:pt>
                <c:pt idx="261">
                  <c:v>-2.486703722989438</c:v>
                </c:pt>
                <c:pt idx="262">
                  <c:v>-2.6900846502730262</c:v>
                </c:pt>
                <c:pt idx="263">
                  <c:v>-2.8936231514732129</c:v>
                </c:pt>
                <c:pt idx="264">
                  <c:v>-3.0973265113041015</c:v>
                </c:pt>
                <c:pt idx="265">
                  <c:v>-3.3012023436575708</c:v>
                </c:pt>
                <c:pt idx="266">
                  <c:v>-3.5052586058906829</c:v>
                </c:pt>
                <c:pt idx="267">
                  <c:v>-3.7095036136786841</c:v>
                </c:pt>
                <c:pt idx="268">
                  <c:v>-3.9139460564511586</c:v>
                </c:pt>
                <c:pt idx="269">
                  <c:v>-4.1185950134301654</c:v>
                </c:pt>
                <c:pt idx="270">
                  <c:v>-4.3234599702892851</c:v>
                </c:pt>
                <c:pt idx="271">
                  <c:v>-4.5285508364509122</c:v>
                </c:pt>
                <c:pt idx="272">
                  <c:v>-4.7338779630436276</c:v>
                </c:pt>
                <c:pt idx="273">
                  <c:v>-4.939452161535538</c:v>
                </c:pt>
                <c:pt idx="274">
                  <c:v>-5.1452847230663874</c:v>
                </c:pt>
                <c:pt idx="275">
                  <c:v>-5.3513874384957285</c:v>
                </c:pt>
                <c:pt idx="276">
                  <c:v>-5.5577726191890449</c:v>
                </c:pt>
                <c:pt idx="277">
                  <c:v>-5.7644531185605672</c:v>
                </c:pt>
                <c:pt idx="278">
                  <c:v>-5.9714423543945614</c:v>
                </c:pt>
                <c:pt idx="279">
                  <c:v>-6.1787543319648917</c:v>
                </c:pt>
                <c:pt idx="280">
                  <c:v>-6.3864036679749461</c:v>
                </c:pt>
                <c:pt idx="281">
                  <c:v>-6.5944056153392738</c:v>
                </c:pt>
                <c:pt idx="282">
                  <c:v>-6.8027760888292663</c:v>
                </c:pt>
                <c:pt idx="283">
                  <c:v>-7.011531691605164</c:v>
                </c:pt>
                <c:pt idx="284">
                  <c:v>-7.2206897426585792</c:v>
                </c:pt>
                <c:pt idx="285">
                  <c:v>-7.4302683051903209</c:v>
                </c:pt>
                <c:pt idx="286">
                  <c:v>-7.6402862159487173</c:v>
                </c:pt>
                <c:pt idx="287">
                  <c:v>-7.8507631155557069</c:v>
                </c:pt>
                <c:pt idx="288">
                  <c:v>-8.061719479849824</c:v>
                </c:pt>
                <c:pt idx="289">
                  <c:v>-8.2731766522770531</c:v>
                </c:pt>
                <c:pt idx="290">
                  <c:v>-8.4851568773627246</c:v>
                </c:pt>
                <c:pt idx="291">
                  <c:v>-8.6976833353011731</c:v>
                </c:pt>
                <c:pt idx="292">
                  <c:v>-8.9107801777032556</c:v>
                </c:pt>
                <c:pt idx="293">
                  <c:v>-9.1244725645457319</c:v>
                </c:pt>
                <c:pt idx="294">
                  <c:v>-9.338786702372186</c:v>
                </c:pt>
                <c:pt idx="295">
                  <c:v>-9.553749883800208</c:v>
                </c:pt>
                <c:pt idx="296">
                  <c:v>-9.7693905283964924</c:v>
                </c:pt>
                <c:pt idx="297">
                  <c:v>-9.9857382249907864</c:v>
                </c:pt>
                <c:pt idx="298">
                  <c:v>-10.202823775506289</c:v>
                </c:pt>
                <c:pt idx="299">
                  <c:v>-10.420679240397527</c:v>
                </c:pt>
                <c:pt idx="300">
                  <c:v>-10.639337985795061</c:v>
                </c:pt>
                <c:pt idx="301">
                  <c:v>-10.85883473247498</c:v>
                </c:pt>
                <c:pt idx="302">
                  <c:v>-11.079205606782494</c:v>
                </c:pt>
                <c:pt idx="303">
                  <c:v>-11.300488193657321</c:v>
                </c:pt>
                <c:pt idx="304">
                  <c:v>-11.522721591930868</c:v>
                </c:pt>
                <c:pt idx="305">
                  <c:v>-11.745946472083125</c:v>
                </c:pt>
                <c:pt idx="306">
                  <c:v>-11.970205136675036</c:v>
                </c:pt>
                <c:pt idx="307">
                  <c:v>-12.195541583696464</c:v>
                </c:pt>
                <c:pt idx="308">
                  <c:v>-12.422001573099976</c:v>
                </c:pt>
                <c:pt idx="309">
                  <c:v>-12.64963269682333</c:v>
                </c:pt>
                <c:pt idx="310">
                  <c:v>-12.878484452636354</c:v>
                </c:pt>
                <c:pt idx="311">
                  <c:v>-13.108608322185937</c:v>
                </c:pt>
                <c:pt idx="312">
                  <c:v>-13.340057853650082</c:v>
                </c:pt>
                <c:pt idx="313">
                  <c:v>-13.572888749455636</c:v>
                </c:pt>
                <c:pt idx="314">
                  <c:v>-13.807158959550566</c:v>
                </c:pt>
                <c:pt idx="315">
                  <c:v>-14.042928780770364</c:v>
                </c:pt>
                <c:pt idx="316">
                  <c:v>-14.280260962876334</c:v>
                </c:pt>
                <c:pt idx="317">
                  <c:v>-14.519220821882824</c:v>
                </c:pt>
                <c:pt idx="318">
                  <c:v>-14.759876361332919</c:v>
                </c:pt>
                <c:pt idx="319">
                  <c:v>-15.00229840220895</c:v>
                </c:pt>
                <c:pt idx="320">
                  <c:v>-15.246560722193793</c:v>
                </c:pt>
                <c:pt idx="321">
                  <c:v>-15.492740205012632</c:v>
                </c:pt>
                <c:pt idx="322">
                  <c:v>-15.740917000588384</c:v>
                </c:pt>
                <c:pt idx="323">
                  <c:v>-15.991174696731621</c:v>
                </c:pt>
                <c:pt idx="324">
                  <c:v>-16.243600503047549</c:v>
                </c:pt>
                <c:pt idx="325">
                  <c:v>-16.498285447685802</c:v>
                </c:pt>
                <c:pt idx="326">
                  <c:v>-16.755324587460777</c:v>
                </c:pt>
                <c:pt idx="327">
                  <c:v>-17.014817231745059</c:v>
                </c:pt>
                <c:pt idx="328">
                  <c:v>-17.276867180354888</c:v>
                </c:pt>
                <c:pt idx="329">
                  <c:v>-17.541582975417793</c:v>
                </c:pt>
                <c:pt idx="330">
                  <c:v>-17.809078166920223</c:v>
                </c:pt>
                <c:pt idx="331">
                  <c:v>-18.079471591261882</c:v>
                </c:pt>
                <c:pt idx="332">
                  <c:v>-18.352887661701711</c:v>
                </c:pt>
                <c:pt idx="333">
                  <c:v>-18.629456669034749</c:v>
                </c:pt>
                <c:pt idx="334">
                  <c:v>-18.909315090203489</c:v>
                </c:pt>
                <c:pt idx="335">
                  <c:v>-19.192605901794572</c:v>
                </c:pt>
                <c:pt idx="336">
                  <c:v>-19.479478894504464</c:v>
                </c:pt>
                <c:pt idx="337">
                  <c:v>-19.770090983671224</c:v>
                </c:pt>
                <c:pt idx="338">
                  <c:v>-20.064606509854453</c:v>
                </c:pt>
                <c:pt idx="339">
                  <c:v>-20.363197522215589</c:v>
                </c:pt>
                <c:pt idx="340">
                  <c:v>-20.666044036107252</c:v>
                </c:pt>
                <c:pt idx="341">
                  <c:v>-20.973334254845469</c:v>
                </c:pt>
                <c:pt idx="342">
                  <c:v>-21.285264744133798</c:v>
                </c:pt>
                <c:pt idx="343">
                  <c:v>-21.602040546078122</c:v>
                </c:pt>
                <c:pt idx="344">
                  <c:v>-21.923875218224488</c:v>
                </c:pt>
                <c:pt idx="345">
                  <c:v>-22.250990781627902</c:v>
                </c:pt>
                <c:pt idx="346">
                  <c:v>-22.583617560719944</c:v>
                </c:pt>
                <c:pt idx="347">
                  <c:v>-22.921993896759176</c:v>
                </c:pt>
                <c:pt idx="348">
                  <c:v>-23.266365716060847</c:v>
                </c:pt>
                <c:pt idx="349">
                  <c:v>-23.616985934123328</c:v>
                </c:pt>
                <c:pt idx="350">
                  <c:v>-23.974113677337105</c:v>
                </c:pt>
                <c:pt idx="351">
                  <c:v>-24.338013305327813</c:v>
                </c:pt>
                <c:pt idx="352">
                  <c:v>-24.708953219270601</c:v>
                </c:pt>
                <c:pt idx="353">
                  <c:v>-25.087204444842925</c:v>
                </c:pt>
                <c:pt idx="354">
                  <c:v>-25.473038982943685</c:v>
                </c:pt>
                <c:pt idx="355">
                  <c:v>-25.866727926934022</c:v>
                </c:pt>
                <c:pt idx="356">
                  <c:v>-26.268539351930443</c:v>
                </c:pt>
                <c:pt idx="357">
                  <c:v>-26.67873598950003</c:v>
                </c:pt>
                <c:pt idx="358">
                  <c:v>-27.097572709780572</c:v>
                </c:pt>
                <c:pt idx="359">
                  <c:v>-27.525293842279943</c:v>
                </c:pt>
                <c:pt idx="360">
                  <c:v>-27.962130376015786</c:v>
                </c:pt>
                <c:pt idx="361">
                  <c:v>-28.408297088753635</c:v>
                </c:pt>
                <c:pt idx="362">
                  <c:v>-28.863989663337751</c:v>
                </c:pt>
                <c:pt idx="363">
                  <c:v>-29.329381855916292</c:v>
                </c:pt>
                <c:pt idx="364">
                  <c:v>-29.804622785639303</c:v>
                </c:pt>
                <c:pt idx="365">
                  <c:v>-30.289834417655143</c:v>
                </c:pt>
                <c:pt idx="366">
                  <c:v>-30.78510931052941</c:v>
                </c:pt>
                <c:pt idx="367">
                  <c:v>-31.290508695303856</c:v>
                </c:pt>
                <c:pt idx="368">
                  <c:v>-31.806060946276581</c:v>
                </c:pt>
                <c:pt idx="369">
                  <c:v>-32.331760493364882</c:v>
                </c:pt>
                <c:pt idx="370">
                  <c:v>-32.867567213050144</c:v>
                </c:pt>
                <c:pt idx="371">
                  <c:v>-33.413406319995083</c:v>
                </c:pt>
                <c:pt idx="372">
                  <c:v>-33.969168765265415</c:v>
                </c:pt>
                <c:pt idx="373">
                  <c:v>-34.534712130568273</c:v>
                </c:pt>
                <c:pt idx="374">
                  <c:v>-35.109861991962966</c:v>
                </c:pt>
                <c:pt idx="375">
                  <c:v>-35.694413711977447</c:v>
                </c:pt>
                <c:pt idx="376">
                  <c:v>-36.28813460673814</c:v>
                </c:pt>
                <c:pt idx="377">
                  <c:v>-36.890766425160514</c:v>
                </c:pt>
                <c:pt idx="378">
                  <c:v>-37.502028070830818</c:v>
                </c:pt>
                <c:pt idx="379">
                  <c:v>-38.121618494040895</c:v>
                </c:pt>
                <c:pt idx="380">
                  <c:v>-38.749219681455749</c:v>
                </c:pt>
                <c:pt idx="381">
                  <c:v>-39.384499673787097</c:v>
                </c:pt>
                <c:pt idx="382">
                  <c:v>-40.027115547187115</c:v>
                </c:pt>
                <c:pt idx="383">
                  <c:v>-40.676716301331723</c:v>
                </c:pt>
                <c:pt idx="384">
                  <c:v>-41.332945605736562</c:v>
                </c:pt>
                <c:pt idx="385">
                  <c:v>-41.995444365172823</c:v>
                </c:pt>
                <c:pt idx="386">
                  <c:v>-42.663853074578064</c:v>
                </c:pt>
                <c:pt idx="387">
                  <c:v>-43.337813943128502</c:v>
                </c:pt>
                <c:pt idx="388">
                  <c:v>-44.016972775784104</c:v>
                </c:pt>
                <c:pt idx="389">
                  <c:v>-44.700980608359487</c:v>
                </c:pt>
                <c:pt idx="390">
                  <c:v>-45.389495098843469</c:v>
                </c:pt>
                <c:pt idx="391">
                  <c:v>-46.08218168320083</c:v>
                </c:pt>
                <c:pt idx="392">
                  <c:v>-46.778714508223104</c:v>
                </c:pt>
                <c:pt idx="393">
                  <c:v>-47.478777157217628</c:v>
                </c:pt>
                <c:pt idx="394">
                  <c:v>-48.182063186509055</c:v>
                </c:pt>
                <c:pt idx="395">
                  <c:v>-48.888276492012395</c:v>
                </c:pt>
                <c:pt idx="396">
                  <c:v>-49.597131525640734</c:v>
                </c:pt>
                <c:pt idx="397">
                  <c:v>-50.30835338119131</c:v>
                </c:pt>
                <c:pt idx="398">
                  <c:v>-51.021677768727727</c:v>
                </c:pt>
                <c:pt idx="399">
                  <c:v>-51.736850895484139</c:v>
                </c:pt>
                <c:pt idx="400">
                  <c:v>-52.453629270055949</c:v>
                </c:pt>
                <c:pt idx="401">
                  <c:v>-53.171779445218988</c:v>
                </c:pt>
                <c:pt idx="402">
                  <c:v>-53.891077713205497</c:v>
                </c:pt>
                <c:pt idx="403">
                  <c:v>-54.611309765725821</c:v>
                </c:pt>
                <c:pt idx="404">
                  <c:v>-55.332270329511104</c:v>
                </c:pt>
                <c:pt idx="405">
                  <c:v>-56.053762786696389</c:v>
                </c:pt>
                <c:pt idx="406">
                  <c:v>-56.775598787997353</c:v>
                </c:pt>
                <c:pt idx="407">
                  <c:v>-57.497597865360383</c:v>
                </c:pt>
                <c:pt idx="408">
                  <c:v>-58.219587049616379</c:v>
                </c:pt>
                <c:pt idx="409">
                  <c:v>-58.94140049761635</c:v>
                </c:pt>
                <c:pt idx="410">
                  <c:v>-59.662879132403475</c:v>
                </c:pt>
                <c:pt idx="411">
                  <c:v>-60.383870299147802</c:v>
                </c:pt>
                <c:pt idx="412">
                  <c:v>-61.104227438854736</c:v>
                </c:pt>
                <c:pt idx="413">
                  <c:v>-61.823809781230423</c:v>
                </c:pt>
                <c:pt idx="414">
                  <c:v>-62.542482057550011</c:v>
                </c:pt>
                <c:pt idx="415">
                  <c:v>-63.260114233916255</c:v>
                </c:pt>
                <c:pt idx="416">
                  <c:v>-63.97658126490812</c:v>
                </c:pt>
                <c:pt idx="417">
                  <c:v>-64.69176286728954</c:v>
                </c:pt>
                <c:pt idx="418">
                  <c:v>-65.405543313184126</c:v>
                </c:pt>
                <c:pt idx="419">
                  <c:v>-66.117811241897158</c:v>
                </c:pt>
                <c:pt idx="420">
                  <c:v>-66.828459489391633</c:v>
                </c:pt>
                <c:pt idx="421">
                  <c:v>-67.537384934286194</c:v>
                </c:pt>
                <c:pt idx="422">
                  <c:v>-68.244488359136326</c:v>
                </c:pt>
                <c:pt idx="423">
                  <c:v>-68.949674325692982</c:v>
                </c:pt>
                <c:pt idx="424">
                  <c:v>-69.652851062775639</c:v>
                </c:pt>
                <c:pt idx="425">
                  <c:v>-70.353930365383079</c:v>
                </c:pt>
                <c:pt idx="426">
                  <c:v>-71.052827503658932</c:v>
                </c:pt>
                <c:pt idx="427">
                  <c:v>-71.749461140345204</c:v>
                </c:pt>
                <c:pt idx="428">
                  <c:v>-72.443753255397667</c:v>
                </c:pt>
                <c:pt idx="429">
                  <c:v>-73.135629076486609</c:v>
                </c:pt>
                <c:pt idx="430">
                  <c:v>-73.825017014164629</c:v>
                </c:pt>
                <c:pt idx="431">
                  <c:v>-74.511848600573828</c:v>
                </c:pt>
                <c:pt idx="432">
                  <c:v>-75.196058430641827</c:v>
                </c:pt>
                <c:pt idx="433">
                  <c:v>-75.877584104823029</c:v>
                </c:pt>
                <c:pt idx="434">
                  <c:v>-76.556366172542326</c:v>
                </c:pt>
                <c:pt idx="435">
                  <c:v>-77.232348075613089</c:v>
                </c:pt>
                <c:pt idx="436">
                  <c:v>-77.905476091023104</c:v>
                </c:pt>
                <c:pt idx="437">
                  <c:v>-78.575699272594534</c:v>
                </c:pt>
                <c:pt idx="438">
                  <c:v>-79.242969391153096</c:v>
                </c:pt>
                <c:pt idx="439">
                  <c:v>-79.907240872959605</c:v>
                </c:pt>
                <c:pt idx="440">
                  <c:v>-80.568470736276495</c:v>
                </c:pt>
                <c:pt idx="441">
                  <c:v>-81.226618526060022</c:v>
                </c:pt>
                <c:pt idx="442">
                  <c:v>-81.881646246872336</c:v>
                </c:pt>
                <c:pt idx="443">
                  <c:v>-82.533518294217018</c:v>
                </c:pt>
                <c:pt idx="444">
                  <c:v>-83.182201384589831</c:v>
                </c:pt>
                <c:pt idx="445">
                  <c:v>-83.827664484624648</c:v>
                </c:pt>
                <c:pt idx="446">
                  <c:v>-84.469878739780725</c:v>
                </c:pt>
                <c:pt idx="447">
                  <c:v>-85.108817403084046</c:v>
                </c:pt>
                <c:pt idx="448">
                  <c:v>-85.744455764477664</c:v>
                </c:pt>
                <c:pt idx="449">
                  <c:v>-86.37677108137126</c:v>
                </c:pt>
                <c:pt idx="450">
                  <c:v>-87.00574251100042</c:v>
                </c:pt>
                <c:pt idx="451">
                  <c:v>-87.631351045206415</c:v>
                </c:pt>
                <c:pt idx="452">
                  <c:v>-88.253579448247521</c:v>
                </c:pt>
                <c:pt idx="453">
                  <c:v>-88.872412198220886</c:v>
                </c:pt>
                <c:pt idx="454">
                  <c:v>-89.487835432646946</c:v>
                </c:pt>
                <c:pt idx="455">
                  <c:v>-90.09983689871467</c:v>
                </c:pt>
                <c:pt idx="456">
                  <c:v>-90.708405908632272</c:v>
                </c:pt>
                <c:pt idx="457">
                  <c:v>-91.313533300457181</c:v>
                </c:pt>
                <c:pt idx="458">
                  <c:v>-91.91521140470131</c:v>
                </c:pt>
                <c:pt idx="459">
                  <c:v>-92.513434016926738</c:v>
                </c:pt>
                <c:pt idx="460">
                  <c:v>-93.10819637645254</c:v>
                </c:pt>
                <c:pt idx="461">
                  <c:v>-93.699495151202044</c:v>
                </c:pt>
                <c:pt idx="462">
                  <c:v>-94.287328428624718</c:v>
                </c:pt>
                <c:pt idx="463">
                  <c:v>-94.871695712528265</c:v>
                </c:pt>
                <c:pt idx="464">
                  <c:v>-95.452597925560866</c:v>
                </c:pt>
                <c:pt idx="465">
                  <c:v>-96.030037416992144</c:v>
                </c:pt>
                <c:pt idx="466">
                  <c:v>-96.604017975355006</c:v>
                </c:pt>
                <c:pt idx="467">
                  <c:v>-97.174544845422105</c:v>
                </c:pt>
                <c:pt idx="468">
                  <c:v>-97.741624748925986</c:v>
                </c:pt>
                <c:pt idx="469">
                  <c:v>-98.305265908357441</c:v>
                </c:pt>
                <c:pt idx="470">
                  <c:v>-98.865478073127434</c:v>
                </c:pt>
                <c:pt idx="471">
                  <c:v>-99.422272547330067</c:v>
                </c:pt>
                <c:pt idx="472">
                  <c:v>-99.975662218313218</c:v>
                </c:pt>
                <c:pt idx="473">
                  <c:v>-100.52566158524215</c:v>
                </c:pt>
                <c:pt idx="474">
                  <c:v>-101.07228678683684</c:v>
                </c:pt>
                <c:pt idx="475">
                  <c:v>-101.61555562746285</c:v>
                </c:pt>
                <c:pt idx="476">
                  <c:v>-102.15548760078283</c:v>
                </c:pt>
                <c:pt idx="477">
                  <c:v>-102.69210391019696</c:v>
                </c:pt>
                <c:pt idx="478">
                  <c:v>-103.22542748535085</c:v>
                </c:pt>
                <c:pt idx="479">
                  <c:v>-103.7554829940366</c:v>
                </c:pt>
                <c:pt idx="480">
                  <c:v>-104.2822968488811</c:v>
                </c:pt>
                <c:pt idx="481">
                  <c:v>-104.80589720828269</c:v>
                </c:pt>
                <c:pt idx="482">
                  <c:v>-105.32631397114292</c:v>
                </c:pt>
                <c:pt idx="483">
                  <c:v>-105.84357876501885</c:v>
                </c:pt>
                <c:pt idx="484">
                  <c:v>-106.35772492741762</c:v>
                </c:pt>
                <c:pt idx="485">
                  <c:v>-106.86878748004304</c:v>
                </c:pt>
                <c:pt idx="486">
                  <c:v>-107.37680309590075</c:v>
                </c:pt>
                <c:pt idx="487">
                  <c:v>-107.88181005926228</c:v>
                </c:pt>
                <c:pt idx="488">
                  <c:v>-108.3838482185752</c:v>
                </c:pt>
                <c:pt idx="489">
                  <c:v>-108.8829589325028</c:v>
                </c:pt>
                <c:pt idx="490">
                  <c:v>-109.37918500935119</c:v>
                </c:pt>
                <c:pt idx="491">
                  <c:v>-109.87257064022563</c:v>
                </c:pt>
                <c:pt idx="492">
                  <c:v>-110.36316132632328</c:v>
                </c:pt>
                <c:pt idx="493">
                  <c:v>-110.85100380083389</c:v>
                </c:pt>
                <c:pt idx="494">
                  <c:v>-111.33614594597368</c:v>
                </c:pt>
                <c:pt idx="495">
                  <c:v>-111.81863670571802</c:v>
                </c:pt>
                <c:pt idx="496">
                  <c:v>-112.29852599483914</c:v>
                </c:pt>
                <c:pt idx="497">
                  <c:v>-112.77586460487308</c:v>
                </c:pt>
                <c:pt idx="498">
                  <c:v>-113.2507041076628</c:v>
                </c:pt>
                <c:pt idx="499">
                  <c:v>-113.72309675712489</c:v>
                </c:pt>
                <c:pt idx="500">
                  <c:v>-114.19309538988855</c:v>
                </c:pt>
                <c:pt idx="501">
                  <c:v>-114.66075332544328</c:v>
                </c:pt>
                <c:pt idx="502">
                  <c:v>-115.12612426641613</c:v>
                </c:pt>
                <c:pt idx="503">
                  <c:v>-115.5892621995697</c:v>
                </c:pt>
                <c:pt idx="504">
                  <c:v>-116.05022129808785</c:v>
                </c:pt>
                <c:pt idx="505">
                  <c:v>-116.50905582567475</c:v>
                </c:pt>
                <c:pt idx="506">
                  <c:v>-116.96582004295693</c:v>
                </c:pt>
                <c:pt idx="507">
                  <c:v>-117.42056811663178</c:v>
                </c:pt>
                <c:pt idx="508">
                  <c:v>-117.87335403176449</c:v>
                </c:pt>
                <c:pt idx="509">
                  <c:v>-118.32423150758395</c:v>
                </c:pt>
                <c:pt idx="510">
                  <c:v>-118.77325391708297</c:v>
                </c:pt>
                <c:pt idx="511">
                  <c:v>-119.22047421068075</c:v>
                </c:pt>
                <c:pt idx="512">
                  <c:v>-119.66594484415793</c:v>
                </c:pt>
                <c:pt idx="513">
                  <c:v>-120.10971771102687</c:v>
                </c:pt>
                <c:pt idx="514">
                  <c:v>-120.55184407945939</c:v>
                </c:pt>
                <c:pt idx="515">
                  <c:v>-120.99237453384856</c:v>
                </c:pt>
                <c:pt idx="516">
                  <c:v>-121.43135892104495</c:v>
                </c:pt>
                <c:pt idx="517">
                  <c:v>-121.86884630126899</c:v>
                </c:pt>
                <c:pt idx="518">
                  <c:v>-122.30488490366731</c:v>
                </c:pt>
                <c:pt idx="519">
                  <c:v>-122.73952208645319</c:v>
                </c:pt>
                <c:pt idx="520">
                  <c:v>-123.17280430154044</c:v>
                </c:pt>
                <c:pt idx="521">
                  <c:v>-123.60477706355839</c:v>
                </c:pt>
                <c:pt idx="522">
                  <c:v>-124.03548492311339</c:v>
                </c:pt>
                <c:pt idx="523">
                  <c:v>-124.46497144414543</c:v>
                </c:pt>
                <c:pt idx="524">
                  <c:v>-124.89327918521384</c:v>
                </c:pt>
                <c:pt idx="525">
                  <c:v>-125.32044968453116</c:v>
                </c:pt>
                <c:pt idx="526">
                  <c:v>-125.74652344855851</c:v>
                </c:pt>
                <c:pt idx="527">
                  <c:v>-126.1715399439688</c:v>
                </c:pt>
                <c:pt idx="528">
                  <c:v>-126.59553759277479</c:v>
                </c:pt>
                <c:pt idx="529">
                  <c:v>-127.01855377042369</c:v>
                </c:pt>
                <c:pt idx="530">
                  <c:v>-127.44062480665222</c:v>
                </c:pt>
                <c:pt idx="531">
                  <c:v>-127.86178598890328</c:v>
                </c:pt>
                <c:pt idx="532">
                  <c:v>-128.28207156810294</c:v>
                </c:pt>
                <c:pt idx="533">
                  <c:v>-128.70151476660422</c:v>
                </c:pt>
                <c:pt idx="534">
                  <c:v>-129.12014778810655</c:v>
                </c:pt>
                <c:pt idx="535">
                  <c:v>-129.53800182936521</c:v>
                </c:pt>
                <c:pt idx="536">
                  <c:v>-129.95510709351487</c:v>
                </c:pt>
                <c:pt idx="537">
                  <c:v>-130.37149280483601</c:v>
                </c:pt>
                <c:pt idx="538">
                  <c:v>-130.78718722480014</c:v>
                </c:pt>
                <c:pt idx="539">
                  <c:v>-131.20221766923979</c:v>
                </c:pt>
                <c:pt idx="540">
                  <c:v>-131.61661052649629</c:v>
                </c:pt>
                <c:pt idx="541">
                  <c:v>-132.03039127640852</c:v>
                </c:pt>
              </c:numCache>
            </c:numRef>
          </c:yVal>
          <c:smooth val="1"/>
          <c:extLst>
            <c:ext xmlns:c16="http://schemas.microsoft.com/office/drawing/2014/chart" uri="{C3380CC4-5D6E-409C-BE32-E72D297353CC}">
              <c16:uniqueId val="{00000000-F188-4D39-B62C-FFCB026FFDB3}"/>
            </c:ext>
          </c:extLst>
        </c:ser>
        <c:dLbls>
          <c:showLegendKey val="0"/>
          <c:showVal val="0"/>
          <c:showCatName val="0"/>
          <c:showSerName val="0"/>
          <c:showPercent val="0"/>
          <c:showBubbleSize val="0"/>
        </c:dLbls>
        <c:axId val="160959104"/>
        <c:axId val="160985856"/>
      </c:scatterChart>
      <c:scatterChart>
        <c:scatterStyle val="smoothMarker"/>
        <c:varyColors val="0"/>
        <c:ser>
          <c:idx val="1"/>
          <c:order val="1"/>
          <c:tx>
            <c:v>Phase (deg)</c:v>
          </c:tx>
          <c:spPr>
            <a:ln w="38100">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Loop_Modeling!$AU$19:$AU$560</c:f>
              <c:numCache>
                <c:formatCode>General</c:formatCode>
                <c:ptCount val="542"/>
                <c:pt idx="0">
                  <c:v>39.254723243643348</c:v>
                </c:pt>
                <c:pt idx="1">
                  <c:v>39.878554900634789</c:v>
                </c:pt>
                <c:pt idx="2">
                  <c:v>40.505912799213426</c:v>
                </c:pt>
                <c:pt idx="3">
                  <c:v>41.13647009315676</c:v>
                </c:pt>
                <c:pt idx="4">
                  <c:v>41.769893161389447</c:v>
                </c:pt>
                <c:pt idx="5">
                  <c:v>42.405842364625968</c:v>
                </c:pt>
                <c:pt idx="6">
                  <c:v>43.043972840587088</c:v>
                </c:pt>
                <c:pt idx="7">
                  <c:v>43.683935333276558</c:v>
                </c:pt>
                <c:pt idx="8">
                  <c:v>44.325377051417526</c:v>
                </c:pt>
                <c:pt idx="9">
                  <c:v>44.967942550812808</c:v>
                </c:pt>
                <c:pt idx="10">
                  <c:v>45.611274635108515</c:v>
                </c:pt>
                <c:pt idx="11">
                  <c:v>46.255015269231897</c:v>
                </c:pt>
                <c:pt idx="12">
                  <c:v>46.898806499613478</c:v>
                </c:pt>
                <c:pt idx="13">
                  <c:v>47.542291375230839</c:v>
                </c:pt>
                <c:pt idx="14">
                  <c:v>48.185114863504793</c:v>
                </c:pt>
                <c:pt idx="15">
                  <c:v>48.826924755133128</c:v>
                </c:pt>
                <c:pt idx="16">
                  <c:v>49.467372552087106</c:v>
                </c:pt>
                <c:pt idx="17">
                  <c:v>50.106114333194959</c:v>
                </c:pt>
                <c:pt idx="18">
                  <c:v>50.742811592004543</c:v>
                </c:pt>
                <c:pt idx="19">
                  <c:v>51.377132041930778</c:v>
                </c:pt>
                <c:pt idx="20">
                  <c:v>52.008750384091854</c:v>
                </c:pt>
                <c:pt idx="21">
                  <c:v>52.63734903363261</c:v>
                </c:pt>
                <c:pt idx="22">
                  <c:v>53.262618800822786</c:v>
                </c:pt>
                <c:pt idx="23">
                  <c:v>53.88425952369483</c:v>
                </c:pt>
                <c:pt idx="24">
                  <c:v>54.501980649498485</c:v>
                </c:pt>
                <c:pt idx="25">
                  <c:v>55.115501762792242</c:v>
                </c:pt>
                <c:pt idx="26">
                  <c:v>55.724553058505649</c:v>
                </c:pt>
                <c:pt idx="27">
                  <c:v>56.328875758857443</c:v>
                </c:pt>
                <c:pt idx="28">
                  <c:v>56.928222473517863</c:v>
                </c:pt>
                <c:pt idx="29">
                  <c:v>57.522357502918112</c:v>
                </c:pt>
                <c:pt idx="30">
                  <c:v>58.11105708508844</c:v>
                </c:pt>
                <c:pt idx="31">
                  <c:v>58.694109586849564</c:v>
                </c:pt>
                <c:pt idx="32">
                  <c:v>59.27131564061073</c:v>
                </c:pt>
                <c:pt idx="33">
                  <c:v>59.84248822840177</c:v>
                </c:pt>
                <c:pt idx="34">
                  <c:v>60.407452715103886</c:v>
                </c:pt>
                <c:pt idx="35">
                  <c:v>60.966046833149811</c:v>
                </c:pt>
                <c:pt idx="36">
                  <c:v>61.51812062120819</c:v>
                </c:pt>
                <c:pt idx="37">
                  <c:v>62.063536319589048</c:v>
                </c:pt>
                <c:pt idx="38">
                  <c:v>62.602168225266176</c:v>
                </c:pt>
                <c:pt idx="39">
                  <c:v>63.133902509546147</c:v>
                </c:pt>
                <c:pt idx="40">
                  <c:v>63.658637001492203</c:v>
                </c:pt>
                <c:pt idx="41">
                  <c:v>64.1762809402708</c:v>
                </c:pt>
                <c:pt idx="42">
                  <c:v>64.686754699590395</c:v>
                </c:pt>
                <c:pt idx="43">
                  <c:v>65.189989487391273</c:v>
                </c:pt>
                <c:pt idx="44">
                  <c:v>65.685927023895331</c:v>
                </c:pt>
                <c:pt idx="45">
                  <c:v>66.174519201049122</c:v>
                </c:pt>
                <c:pt idx="46">
                  <c:v>66.655727726299347</c:v>
                </c:pt>
                <c:pt idx="47">
                  <c:v>67.129523753525447</c:v>
                </c:pt>
                <c:pt idx="48">
                  <c:v>67.59588750381684</c:v>
                </c:pt>
                <c:pt idx="49">
                  <c:v>68.054807878648532</c:v>
                </c:pt>
                <c:pt idx="50">
                  <c:v>68.506282067842392</c:v>
                </c:pt>
                <c:pt idx="51">
                  <c:v>68.950315154552328</c:v>
                </c:pt>
                <c:pt idx="52">
                  <c:v>69.386919719334585</c:v>
                </c:pt>
                <c:pt idx="53">
                  <c:v>69.816115445207757</c:v>
                </c:pt>
                <c:pt idx="54">
                  <c:v>70.237928725429072</c:v>
                </c:pt>
                <c:pt idx="55">
                  <c:v>70.652392275555499</c:v>
                </c:pt>
                <c:pt idx="56">
                  <c:v>71.059544751188014</c:v>
                </c:pt>
                <c:pt idx="57">
                  <c:v>71.459430372647958</c:v>
                </c:pt>
                <c:pt idx="58">
                  <c:v>71.852098557672335</c:v>
                </c:pt>
                <c:pt idx="59">
                  <c:v>72.237603563075851</c:v>
                </c:pt>
                <c:pt idx="60">
                  <c:v>72.616004136189076</c:v>
                </c:pt>
                <c:pt idx="61">
                  <c:v>72.987363176746257</c:v>
                </c:pt>
                <c:pt idx="62">
                  <c:v>73.351747409782149</c:v>
                </c:pt>
                <c:pt idx="63">
                  <c:v>73.709227069977757</c:v>
                </c:pt>
                <c:pt idx="64">
                  <c:v>74.059875597792796</c:v>
                </c:pt>
                <c:pt idx="65">
                  <c:v>74.403769347625442</c:v>
                </c:pt>
                <c:pt idx="66">
                  <c:v>74.74098730815389</c:v>
                </c:pt>
                <c:pt idx="67">
                  <c:v>75.071610834933338</c:v>
                </c:pt>
                <c:pt idx="68">
                  <c:v>75.395723395249917</c:v>
                </c:pt>
                <c:pt idx="69">
                  <c:v>75.713410325171949</c:v>
                </c:pt>
                <c:pt idx="70">
                  <c:v>76.024758598680037</c:v>
                </c:pt>
                <c:pt idx="71">
                  <c:v>76.329856608708383</c:v>
                </c:pt>
                <c:pt idx="72">
                  <c:v>76.62879395988891</c:v>
                </c:pt>
                <c:pt idx="73">
                  <c:v>76.921661272749645</c:v>
                </c:pt>
                <c:pt idx="74">
                  <c:v>77.208549999087836</c:v>
                </c:pt>
                <c:pt idx="75">
                  <c:v>77.489552248217322</c:v>
                </c:pt>
                <c:pt idx="76">
                  <c:v>77.764760623759344</c:v>
                </c:pt>
                <c:pt idx="77">
                  <c:v>78.034268070637182</c:v>
                </c:pt>
                <c:pt idx="78">
                  <c:v>78.298167731917772</c:v>
                </c:pt>
                <c:pt idx="79">
                  <c:v>78.556552815133756</c:v>
                </c:pt>
                <c:pt idx="80">
                  <c:v>78.809516467716847</c:v>
                </c:pt>
                <c:pt idx="81">
                  <c:v>79.057151661164184</c:v>
                </c:pt>
                <c:pt idx="82">
                  <c:v>79.299551083564069</c:v>
                </c:pt>
                <c:pt idx="83">
                  <c:v>79.536807040105472</c:v>
                </c:pt>
                <c:pt idx="84">
                  <c:v>79.769011361199617</c:v>
                </c:pt>
                <c:pt idx="85">
                  <c:v>79.996255317847101</c:v>
                </c:pt>
                <c:pt idx="86">
                  <c:v>80.218629543891282</c:v>
                </c:pt>
                <c:pt idx="87">
                  <c:v>80.436223964803403</c:v>
                </c:pt>
                <c:pt idx="88">
                  <c:v>80.649127732657718</c:v>
                </c:pt>
                <c:pt idx="89">
                  <c:v>80.857429166959449</c:v>
                </c:pt>
                <c:pt idx="90">
                  <c:v>81.061215701003348</c:v>
                </c:pt>
                <c:pt idx="91">
                  <c:v>81.26057383344731</c:v>
                </c:pt>
                <c:pt idx="92">
                  <c:v>81.45558908479822</c:v>
                </c:pt>
                <c:pt idx="93">
                  <c:v>81.646345958518936</c:v>
                </c:pt>
                <c:pt idx="94">
                  <c:v>81.832927906475717</c:v>
                </c:pt>
                <c:pt idx="95">
                  <c:v>82.01541729845664</c:v>
                </c:pt>
                <c:pt idx="96">
                  <c:v>82.193895395504839</c:v>
                </c:pt>
                <c:pt idx="97">
                  <c:v>82.368442326819633</c:v>
                </c:pt>
                <c:pt idx="98">
                  <c:v>82.539137069991682</c:v>
                </c:pt>
                <c:pt idx="99">
                  <c:v>82.706057434348168</c:v>
                </c:pt>
                <c:pt idx="100">
                  <c:v>82.869280047195375</c:v>
                </c:pt>
                <c:pt idx="101">
                  <c:v>83.028880342757887</c:v>
                </c:pt>
                <c:pt idx="102">
                  <c:v>83.184932553620939</c:v>
                </c:pt>
                <c:pt idx="103">
                  <c:v>83.33750970449637</c:v>
                </c:pt>
                <c:pt idx="104">
                  <c:v>83.486683608139231</c:v>
                </c:pt>
                <c:pt idx="105">
                  <c:v>83.632524863253352</c:v>
                </c:pt>
                <c:pt idx="106">
                  <c:v>83.77510285423233</c:v>
                </c:pt>
                <c:pt idx="107">
                  <c:v>83.914485752591716</c:v>
                </c:pt>
                <c:pt idx="108">
                  <c:v>84.050740519955951</c:v>
                </c:pt>
                <c:pt idx="109">
                  <c:v>84.18393291247223</c:v>
                </c:pt>
                <c:pt idx="110">
                  <c:v>84.314127486530467</c:v>
                </c:pt>
                <c:pt idx="111">
                  <c:v>84.441387605676766</c:v>
                </c:pt>
                <c:pt idx="112">
                  <c:v>84.565775448613834</c:v>
                </c:pt>
                <c:pt idx="113">
                  <c:v>84.687352018188108</c:v>
                </c:pt>
                <c:pt idx="114">
                  <c:v>84.806177151272408</c:v>
                </c:pt>
                <c:pt idx="115">
                  <c:v>84.922309529454722</c:v>
                </c:pt>
                <c:pt idx="116">
                  <c:v>85.035806690452219</c:v>
                </c:pt>
                <c:pt idx="117">
                  <c:v>85.146725040175383</c:v>
                </c:pt>
                <c:pt idx="118">
                  <c:v>85.255119865369537</c:v>
                </c:pt>
                <c:pt idx="119">
                  <c:v>85.361045346768506</c:v>
                </c:pt>
                <c:pt idx="120">
                  <c:v>85.464554572698916</c:v>
                </c:pt>
                <c:pt idx="121">
                  <c:v>85.565699553076385</c:v>
                </c:pt>
                <c:pt idx="122">
                  <c:v>85.664531233741982</c:v>
                </c:pt>
                <c:pt idx="123">
                  <c:v>85.761099511088105</c:v>
                </c:pt>
                <c:pt idx="124">
                  <c:v>85.855453246928107</c:v>
                </c:pt>
                <c:pt idx="125">
                  <c:v>85.947640283567466</c:v>
                </c:pt>
                <c:pt idx="126">
                  <c:v>86.037707459036852</c:v>
                </c:pt>
                <c:pt idx="127">
                  <c:v>86.125700622450154</c:v>
                </c:pt>
                <c:pt idx="128">
                  <c:v>86.211664649454605</c:v>
                </c:pt>
                <c:pt idx="129">
                  <c:v>86.295643457741775</c:v>
                </c:pt>
                <c:pt idx="130">
                  <c:v>86.377680022590283</c:v>
                </c:pt>
                <c:pt idx="131">
                  <c:v>86.457816392414699</c:v>
                </c:pt>
                <c:pt idx="132">
                  <c:v>86.536093704296078</c:v>
                </c:pt>
                <c:pt idx="133">
                  <c:v>86.612552199472447</c:v>
                </c:pt>
                <c:pt idx="134">
                  <c:v>86.687231238768121</c:v>
                </c:pt>
                <c:pt idx="135">
                  <c:v>86.760169317944872</c:v>
                </c:pt>
                <c:pt idx="136">
                  <c:v>86.831404082956581</c:v>
                </c:pt>
                <c:pt idx="137">
                  <c:v>86.900972345093265</c:v>
                </c:pt>
                <c:pt idx="138">
                  <c:v>86.968910095999604</c:v>
                </c:pt>
                <c:pt idx="139">
                  <c:v>87.035252522556846</c:v>
                </c:pt>
                <c:pt idx="140">
                  <c:v>87.100034021615102</c:v>
                </c:pt>
                <c:pt idx="141">
                  <c:v>87.163288214567231</c:v>
                </c:pt>
                <c:pt idx="142">
                  <c:v>87.225047961754669</c:v>
                </c:pt>
                <c:pt idx="143">
                  <c:v>87.285345376697251</c:v>
                </c:pt>
                <c:pt idx="144">
                  <c:v>87.344211840140005</c:v>
                </c:pt>
                <c:pt idx="145">
                  <c:v>87.4016780139101</c:v>
                </c:pt>
                <c:pt idx="146">
                  <c:v>87.457773854579443</c:v>
                </c:pt>
                <c:pt idx="147">
                  <c:v>87.51252862692732</c:v>
                </c:pt>
                <c:pt idx="148">
                  <c:v>87.565970917199337</c:v>
                </c:pt>
                <c:pt idx="149">
                  <c:v>87.618128646159121</c:v>
                </c:pt>
                <c:pt idx="150">
                  <c:v>87.669029081930447</c:v>
                </c:pt>
                <c:pt idx="151">
                  <c:v>87.718698852626446</c:v>
                </c:pt>
                <c:pt idx="152">
                  <c:v>87.767163958765181</c:v>
                </c:pt>
                <c:pt idx="153">
                  <c:v>87.814449785469691</c:v>
                </c:pt>
                <c:pt idx="154">
                  <c:v>87.860581114451264</c:v>
                </c:pt>
                <c:pt idx="155">
                  <c:v>87.90558213577664</c:v>
                </c:pt>
                <c:pt idx="156">
                  <c:v>87.949476459417085</c:v>
                </c:pt>
                <c:pt idx="157">
                  <c:v>87.992287126581289</c:v>
                </c:pt>
                <c:pt idx="158">
                  <c:v>88.034036620831685</c:v>
                </c:pt>
                <c:pt idx="159">
                  <c:v>88.074746878984769</c:v>
                </c:pt>
                <c:pt idx="160">
                  <c:v>88.114439301796907</c:v>
                </c:pt>
                <c:pt idx="161">
                  <c:v>88.153134764436643</c:v>
                </c:pt>
                <c:pt idx="162">
                  <c:v>88.190853626744797</c:v>
                </c:pt>
                <c:pt idx="163">
                  <c:v>88.227615743284559</c:v>
                </c:pt>
                <c:pt idx="164">
                  <c:v>88.263440473182399</c:v>
                </c:pt>
                <c:pt idx="165">
                  <c:v>88.298346689763022</c:v>
                </c:pt>
                <c:pt idx="166">
                  <c:v>88.332352789979424</c:v>
                </c:pt>
                <c:pt idx="167">
                  <c:v>88.365476703641164</c:v>
                </c:pt>
                <c:pt idx="168">
                  <c:v>88.397735902442548</c:v>
                </c:pt>
                <c:pt idx="169">
                  <c:v>88.429147408793895</c:v>
                </c:pt>
                <c:pt idx="170">
                  <c:v>88.459727804458183</c:v>
                </c:pt>
                <c:pt idx="171">
                  <c:v>88.489493238995877</c:v>
                </c:pt>
                <c:pt idx="172">
                  <c:v>88.518459438020685</c:v>
                </c:pt>
                <c:pt idx="173">
                  <c:v>88.546641711269459</c:v>
                </c:pt>
                <c:pt idx="174">
                  <c:v>88.57405496048905</c:v>
                </c:pt>
                <c:pt idx="175">
                  <c:v>88.600713687143113</c:v>
                </c:pt>
                <c:pt idx="176">
                  <c:v>88.626631999942234</c:v>
                </c:pt>
                <c:pt idx="177">
                  <c:v>88.651823622200752</c:v>
                </c:pt>
                <c:pt idx="178">
                  <c:v>88.676301899022917</c:v>
                </c:pt>
                <c:pt idx="179">
                  <c:v>88.700079804322783</c:v>
                </c:pt>
                <c:pt idx="180">
                  <c:v>88.72316994768029</c:v>
                </c:pt>
                <c:pt idx="181">
                  <c:v>88.745584581038045</c:v>
                </c:pt>
                <c:pt idx="182">
                  <c:v>88.767335605241229</c:v>
                </c:pt>
                <c:pt idx="183">
                  <c:v>88.788434576425615</c:v>
                </c:pt>
                <c:pt idx="184">
                  <c:v>88.808892712256494</c:v>
                </c:pt>
                <c:pt idx="185">
                  <c:v>88.828720898022567</c:v>
                </c:pt>
                <c:pt idx="186">
                  <c:v>88.84792969258919</c:v>
                </c:pt>
                <c:pt idx="187">
                  <c:v>88.866529334214221</c:v>
                </c:pt>
                <c:pt idx="188">
                  <c:v>88.884529746231252</c:v>
                </c:pt>
                <c:pt idx="189">
                  <c:v>88.901940542604152</c:v>
                </c:pt>
                <c:pt idx="190">
                  <c:v>88.918771033357089</c:v>
                </c:pt>
                <c:pt idx="191">
                  <c:v>88.935030229885001</c:v>
                </c:pt>
                <c:pt idx="192">
                  <c:v>88.95072685014847</c:v>
                </c:pt>
                <c:pt idx="193">
                  <c:v>88.965869323758326</c:v>
                </c:pt>
                <c:pt idx="194">
                  <c:v>88.980465796954178</c:v>
                </c:pt>
                <c:pt idx="195">
                  <c:v>88.99452413748287</c:v>
                </c:pt>
                <c:pt idx="196">
                  <c:v>89.008051939380948</c:v>
                </c:pt>
                <c:pt idx="197">
                  <c:v>89.021056527667625</c:v>
                </c:pt>
                <c:pt idx="198">
                  <c:v>89.033544962953059</c:v>
                </c:pt>
                <c:pt idx="199">
                  <c:v>89.045524045968492</c:v>
                </c:pt>
                <c:pt idx="200">
                  <c:v>89.057000322023541</c:v>
                </c:pt>
                <c:pt idx="201">
                  <c:v>89.067980085398062</c:v>
                </c:pt>
                <c:pt idx="202">
                  <c:v>89.078469383674332</c:v>
                </c:pt>
                <c:pt idx="203">
                  <c:v>89.088474022016868</c:v>
                </c:pt>
                <c:pt idx="204">
                  <c:v>89.097999567407683</c:v>
                </c:pt>
                <c:pt idx="205">
                  <c:v>89.107051352843456</c:v>
                </c:pt>
                <c:pt idx="206">
                  <c:v>89.115634481504529</c:v>
                </c:pt>
                <c:pt idx="207">
                  <c:v>89.123753830901933</c:v>
                </c:pt>
                <c:pt idx="208">
                  <c:v>89.131414057013842</c:v>
                </c:pt>
                <c:pt idx="209">
                  <c:v>89.138619598418984</c:v>
                </c:pt>
                <c:pt idx="210">
                  <c:v>89.14537468043811</c:v>
                </c:pt>
                <c:pt idx="211">
                  <c:v>89.151683319293667</c:v>
                </c:pt>
                <c:pt idx="212">
                  <c:v>89.157549326298906</c:v>
                </c:pt>
                <c:pt idx="213">
                  <c:v>89.162976312088475</c:v>
                </c:pt>
                <c:pt idx="214">
                  <c:v>89.167967690902984</c:v>
                </c:pt>
                <c:pt idx="215">
                  <c:v>89.172526684940536</c:v>
                </c:pt>
                <c:pt idx="216">
                  <c:v>89.176656328789932</c:v>
                </c:pt>
                <c:pt idx="217">
                  <c:v>89.180359473960365</c:v>
                </c:pt>
                <c:pt idx="218">
                  <c:v>89.183638793523372</c:v>
                </c:pt>
                <c:pt idx="219">
                  <c:v>89.186496786884589</c:v>
                </c:pt>
                <c:pt idx="220">
                  <c:v>89.188935784702608</c:v>
                </c:pt>
                <c:pt idx="221">
                  <c:v>89.190957953975499</c:v>
                </c:pt>
                <c:pt idx="222">
                  <c:v>89.192565303313586</c:v>
                </c:pt>
                <c:pt idx="223">
                  <c:v>89.193759688422702</c:v>
                </c:pt>
                <c:pt idx="224">
                  <c:v>89.194542817819141</c:v>
                </c:pt>
                <c:pt idx="225">
                  <c:v>89.19491625880228</c:v>
                </c:pt>
                <c:pt idx="226">
                  <c:v>89.194881443711353</c:v>
                </c:pt>
                <c:pt idx="227">
                  <c:v>89.194439676493914</c:v>
                </c:pt>
                <c:pt idx="228">
                  <c:v>89.19359213961701</c:v>
                </c:pt>
                <c:pt idx="229">
                  <c:v>89.19233990135227</c:v>
                </c:pt>
                <c:pt idx="230">
                  <c:v>89.190683923470317</c:v>
                </c:pt>
                <c:pt idx="231">
                  <c:v>89.188625069379754</c:v>
                </c:pt>
                <c:pt idx="232">
                  <c:v>89.186164112750845</c:v>
                </c:pt>
                <c:pt idx="233">
                  <c:v>89.183301746665066</c:v>
                </c:pt>
                <c:pt idx="234">
                  <c:v>89.180038593334757</c:v>
                </c:pt>
                <c:pt idx="235">
                  <c:v>89.176375214440625</c:v>
                </c:pt>
                <c:pt idx="236">
                  <c:v>89.172312122137427</c:v>
                </c:pt>
                <c:pt idx="237">
                  <c:v>89.167849790782057</c:v>
                </c:pt>
                <c:pt idx="238">
                  <c:v>89.162988669440608</c:v>
                </c:pt>
                <c:pt idx="239">
                  <c:v>89.157729195237437</c:v>
                </c:pt>
                <c:pt idx="240">
                  <c:v>89.152071807609687</c:v>
                </c:pt>
                <c:pt idx="241">
                  <c:v>89.146016963538415</c:v>
                </c:pt>
                <c:pt idx="242">
                  <c:v>89.139565153830276</c:v>
                </c:pt>
                <c:pt idx="243">
                  <c:v>89.132716920528438</c:v>
                </c:pt>
                <c:pt idx="244">
                  <c:v>89.125472875537938</c:v>
                </c:pt>
                <c:pt idx="245">
                  <c:v>89.117833720554756</c:v>
                </c:pt>
                <c:pt idx="246">
                  <c:v>89.109800268394821</c:v>
                </c:pt>
                <c:pt idx="247">
                  <c:v>89.101373465824665</c:v>
                </c:pt>
                <c:pt idx="248">
                  <c:v>89.092554418001967</c:v>
                </c:pt>
                <c:pt idx="249">
                  <c:v>89.083344414642369</c:v>
                </c:pt>
                <c:pt idx="250">
                  <c:v>89.07374495803397</c:v>
                </c:pt>
                <c:pt idx="251">
                  <c:v>89.063757793031684</c:v>
                </c:pt>
                <c:pt idx="252">
                  <c:v>89.053384939168808</c:v>
                </c:pt>
                <c:pt idx="253">
                  <c:v>89.042628725034277</c:v>
                </c:pt>
                <c:pt idx="254">
                  <c:v>89.031491825071981</c:v>
                </c:pt>
                <c:pt idx="255">
                  <c:v>89.019977298967575</c:v>
                </c:pt>
                <c:pt idx="256">
                  <c:v>89.008088633800824</c:v>
                </c:pt>
                <c:pt idx="257">
                  <c:v>88.995829789148544</c:v>
                </c:pt>
                <c:pt idx="258">
                  <c:v>88.983205245338212</c:v>
                </c:pt>
                <c:pt idx="259">
                  <c:v>88.970220055060508</c:v>
                </c:pt>
                <c:pt idx="260">
                  <c:v>88.956879898564736</c:v>
                </c:pt>
                <c:pt idx="261">
                  <c:v>88.943191142670386</c:v>
                </c:pt>
                <c:pt idx="262">
                  <c:v>88.929160903845172</c:v>
                </c:pt>
                <c:pt idx="263">
                  <c:v>88.914797115610455</c:v>
                </c:pt>
                <c:pt idx="264">
                  <c:v>88.900108600552656</c:v>
                </c:pt>
                <c:pt idx="265">
                  <c:v>88.885105147231712</c:v>
                </c:pt>
                <c:pt idx="266">
                  <c:v>88.869797592294518</c:v>
                </c:pt>
                <c:pt idx="267">
                  <c:v>88.854197908118664</c:v>
                </c:pt>
                <c:pt idx="268">
                  <c:v>88.838319296325892</c:v>
                </c:pt>
                <c:pt idx="269">
                  <c:v>88.822176287523604</c:v>
                </c:pt>
                <c:pt idx="270">
                  <c:v>88.805784847650528</c:v>
                </c:pt>
                <c:pt idx="271">
                  <c:v>88.78916249132007</c:v>
                </c:pt>
                <c:pt idx="272">
                  <c:v>88.772328402572143</c:v>
                </c:pt>
                <c:pt idx="273">
                  <c:v>88.755303563464977</c:v>
                </c:pt>
                <c:pt idx="274">
                  <c:v>88.73811089095642</c:v>
                </c:pt>
                <c:pt idx="275">
                  <c:v>88.720775382539657</c:v>
                </c:pt>
                <c:pt idx="276">
                  <c:v>88.703324271123677</c:v>
                </c:pt>
                <c:pt idx="277">
                  <c:v>88.685787189658754</c:v>
                </c:pt>
                <c:pt idx="278">
                  <c:v>88.668196346032289</c:v>
                </c:pt>
                <c:pt idx="279">
                  <c:v>88.650586708773915</c:v>
                </c:pt>
                <c:pt idx="280">
                  <c:v>88.63299620412289</c:v>
                </c:pt>
                <c:pt idx="281">
                  <c:v>88.615465925034044</c:v>
                </c:pt>
                <c:pt idx="282">
                  <c:v>88.598040352700338</c:v>
                </c:pt>
                <c:pt idx="283">
                  <c:v>88.580767591194856</c:v>
                </c:pt>
                <c:pt idx="284">
                  <c:v>88.563699615832221</c:v>
                </c:pt>
                <c:pt idx="285">
                  <c:v>88.546892535868153</c:v>
                </c:pt>
                <c:pt idx="286">
                  <c:v>88.530406872150024</c:v>
                </c:pt>
                <c:pt idx="287">
                  <c:v>88.514307850337417</c:v>
                </c:pt>
                <c:pt idx="288">
                  <c:v>88.498665710307392</c:v>
                </c:pt>
                <c:pt idx="289">
                  <c:v>88.48355603234539</c:v>
                </c:pt>
                <c:pt idx="290">
                  <c:v>88.46906008071619</c:v>
                </c:pt>
                <c:pt idx="291">
                  <c:v>88.455265165179554</c:v>
                </c:pt>
                <c:pt idx="292">
                  <c:v>88.442265020992934</c:v>
                </c:pt>
                <c:pt idx="293">
                  <c:v>88.430160207905232</c:v>
                </c:pt>
                <c:pt idx="294">
                  <c:v>88.419058528596167</c:v>
                </c:pt>
                <c:pt idx="295">
                  <c:v>88.409075466963017</c:v>
                </c:pt>
                <c:pt idx="296">
                  <c:v>88.400334646583573</c:v>
                </c:pt>
                <c:pt idx="297">
                  <c:v>88.39296830960437</c:v>
                </c:pt>
                <c:pt idx="298">
                  <c:v>88.387117816202476</c:v>
                </c:pt>
                <c:pt idx="299">
                  <c:v>88.382934164657243</c:v>
                </c:pt>
                <c:pt idx="300">
                  <c:v>88.380578531932073</c:v>
                </c:pt>
                <c:pt idx="301">
                  <c:v>88.380222834516928</c:v>
                </c:pt>
                <c:pt idx="302">
                  <c:v>88.382050309098346</c:v>
                </c:pt>
                <c:pt idx="303">
                  <c:v>88.386256112429891</c:v>
                </c:pt>
                <c:pt idx="304">
                  <c:v>88.39304793953842</c:v>
                </c:pt>
                <c:pt idx="305">
                  <c:v>88.402646659144793</c:v>
                </c:pt>
                <c:pt idx="306">
                  <c:v>88.4152869648875</c:v>
                </c:pt>
                <c:pt idx="307">
                  <c:v>88.431218040594089</c:v>
                </c:pt>
                <c:pt idx="308">
                  <c:v>88.450704237490939</c:v>
                </c:pt>
                <c:pt idx="309">
                  <c:v>88.474025760813561</c:v>
                </c:pt>
                <c:pt idx="310">
                  <c:v>88.501479362825776</c:v>
                </c:pt>
                <c:pt idx="311">
                  <c:v>88.5333790387363</c:v>
                </c:pt>
                <c:pt idx="312">
                  <c:v>88.57005672143579</c:v>
                </c:pt>
                <c:pt idx="313">
                  <c:v>88.611862970342514</c:v>
                </c:pt>
                <c:pt idx="314">
                  <c:v>88.659167648952732</c:v>
                </c:pt>
                <c:pt idx="315">
                  <c:v>88.712360584920106</c:v>
                </c:pt>
                <c:pt idx="316">
                  <c:v>88.771852205652621</c:v>
                </c:pt>
                <c:pt idx="317">
                  <c:v>88.838074141489571</c:v>
                </c:pt>
                <c:pt idx="318">
                  <c:v>88.911479787515816</c:v>
                </c:pt>
                <c:pt idx="319">
                  <c:v>88.992544813972273</c:v>
                </c:pt>
                <c:pt idx="320">
                  <c:v>89.081767614034717</c:v>
                </c:pt>
                <c:pt idx="321">
                  <c:v>89.179669676440511</c:v>
                </c:pt>
                <c:pt idx="322">
                  <c:v>89.286795869061393</c:v>
                </c:pt>
                <c:pt idx="323">
                  <c:v>89.403714618022178</c:v>
                </c:pt>
                <c:pt idx="324">
                  <c:v>89.531017965395876</c:v>
                </c:pt>
                <c:pt idx="325">
                  <c:v>89.669321486804108</c:v>
                </c:pt>
                <c:pt idx="326">
                  <c:v>89.819264048498496</c:v>
                </c:pt>
                <c:pt idx="327">
                  <c:v>89.981507381643809</c:v>
                </c:pt>
                <c:pt idx="328">
                  <c:v>90.156735449630048</c:v>
                </c:pt>
                <c:pt idx="329">
                  <c:v>90.345653582306966</c:v>
                </c:pt>
                <c:pt idx="330">
                  <c:v>90.54898734910094</c:v>
                </c:pt>
                <c:pt idx="331">
                  <c:v>90.76748114110309</c:v>
                </c:pt>
                <c:pt idx="332">
                  <c:v>91.001896430443082</c:v>
                </c:pt>
                <c:pt idx="333">
                  <c:v>91.253009673671997</c:v>
                </c:pt>
                <c:pt idx="334">
                  <c:v>91.521609824571257</c:v>
                </c:pt>
                <c:pt idx="335">
                  <c:v>91.808495420869377</c:v>
                </c:pt>
                <c:pt idx="336">
                  <c:v>92.11447120894664</c:v>
                </c:pt>
                <c:pt idx="337">
                  <c:v>92.440344270904504</c:v>
                </c:pt>
                <c:pt idx="338">
                  <c:v>92.78691961948698</c:v>
                </c:pt>
                <c:pt idx="339">
                  <c:v>93.154995228621473</c:v>
                </c:pt>
                <c:pt idx="340">
                  <c:v>93.545356470838797</c:v>
                </c:pt>
                <c:pt idx="341">
                  <c:v>93.958769938009638</c:v>
                </c:pt>
                <c:pt idx="342">
                  <c:v>94.395976628759698</c:v>
                </c:pt>
                <c:pt idx="343">
                  <c:v>94.85768449504684</c:v>
                </c:pt>
                <c:pt idx="344">
                  <c:v>95.344560351863393</c:v>
                </c:pt>
                <c:pt idx="345">
                  <c:v>95.857221168124724</c:v>
                </c:pt>
                <c:pt idx="346">
                  <c:v>96.396224773756501</c:v>
                </c:pt>
                <c:pt idx="347">
                  <c:v>96.962060037785378</c:v>
                </c:pt>
                <c:pt idx="348">
                  <c:v>97.555136594988667</c:v>
                </c:pt>
                <c:pt idx="349">
                  <c:v>98.175774224049391</c:v>
                </c:pt>
                <c:pt idx="350">
                  <c:v>98.824192007907683</c:v>
                </c:pt>
                <c:pt idx="351">
                  <c:v>99.500497436430678</c:v>
                </c:pt>
                <c:pt idx="352">
                  <c:v>100.20467564171889</c:v>
                </c:pt>
                <c:pt idx="353">
                  <c:v>100.93657898619487</c:v>
                </c:pt>
                <c:pt idx="354">
                  <c:v>101.69591725148993</c:v>
                </c:pt>
                <c:pt idx="355">
                  <c:v>102.48224870034936</c:v>
                </c:pt>
                <c:pt idx="356">
                  <c:v>103.29497230226416</c:v>
                </c:pt>
                <c:pt idx="357">
                  <c:v>104.13332142418761</c:v>
                </c:pt>
                <c:pt idx="358">
                  <c:v>104.99635928834564</c:v>
                </c:pt>
                <c:pt idx="359">
                  <c:v>105.88297648786224</c:v>
                </c:pt>
                <c:pt idx="360">
                  <c:v>106.79189082606256</c:v>
                </c:pt>
                <c:pt idx="361">
                  <c:v>107.72164970588676</c:v>
                </c:pt>
                <c:pt idx="362">
                  <c:v>108.67063524162184</c:v>
                </c:pt>
                <c:pt idx="363">
                  <c:v>109.6370721969262</c:v>
                </c:pt>
                <c:pt idx="364">
                  <c:v>110.61903877264079</c:v>
                </c:pt>
                <c:pt idx="365">
                  <c:v>111.61448017824247</c:v>
                </c:pt>
                <c:pt idx="366">
                  <c:v>112.62122482585757</c:v>
                </c:pt>
                <c:pt idx="367">
                  <c:v>113.63700289043911</c:v>
                </c:pt>
                <c:pt idx="368">
                  <c:v>114.65946688932029</c:v>
                </c:pt>
                <c:pt idx="369">
                  <c:v>115.68621385430396</c:v>
                </c:pt>
                <c:pt idx="370">
                  <c:v>116.71480860488124</c:v>
                </c:pt>
                <c:pt idx="371">
                  <c:v>117.74280758626772</c:v>
                </c:pt>
                <c:pt idx="372">
                  <c:v>118.76778271382372</c:v>
                </c:pt>
                <c:pt idx="373">
                  <c:v>119.78734466752022</c:v>
                </c:pt>
                <c:pt idx="374">
                  <c:v>120.79916510629378</c:v>
                </c:pt>
                <c:pt idx="375">
                  <c:v>121.80099732056216</c:v>
                </c:pt>
                <c:pt idx="376">
                  <c:v>122.79069490853063</c:v>
                </c:pt>
                <c:pt idx="377">
                  <c:v>123.76622814374026</c:v>
                </c:pt>
                <c:pt idx="378">
                  <c:v>124.72569779244098</c:v>
                </c:pt>
                <c:pt idx="379">
                  <c:v>125.66734623431766</c:v>
                </c:pt>
                <c:pt idx="380">
                  <c:v>126.58956583362951</c:v>
                </c:pt>
                <c:pt idx="381">
                  <c:v>127.49090459528455</c:v>
                </c:pt>
                <c:pt idx="382">
                  <c:v>128.37006921791576</c:v>
                </c:pt>
                <c:pt idx="383">
                  <c:v>129.22592572101661</c:v>
                </c:pt>
                <c:pt idx="384">
                  <c:v>130.05749787391878</c:v>
                </c:pt>
                <c:pt idx="385">
                  <c:v>130.86396369039613</c:v>
                </c:pt>
                <c:pt idx="386">
                  <c:v>131.64465027431558</c:v>
                </c:pt>
                <c:pt idx="387">
                  <c:v>132.39902731020018</c:v>
                </c:pt>
                <c:pt idx="388">
                  <c:v>133.12669948949056</c:v>
                </c:pt>
                <c:pt idx="389">
                  <c:v>133.82739815077358</c:v>
                </c:pt>
                <c:pt idx="390">
                  <c:v>134.50097239235239</c:v>
                </c:pt>
                <c:pt idx="391">
                  <c:v>135.14737989047612</c:v>
                </c:pt>
                <c:pt idx="392">
                  <c:v>135.76667762823007</c:v>
                </c:pt>
                <c:pt idx="393">
                  <c:v>136.35901271025864</c:v>
                </c:pt>
                <c:pt idx="394">
                  <c:v>136.92461340858762</c:v>
                </c:pt>
                <c:pt idx="395">
                  <c:v>137.46378055596088</c:v>
                </c:pt>
                <c:pt idx="396">
                  <c:v>137.97687937615086</c:v>
                </c:pt>
                <c:pt idx="397">
                  <c:v>138.46433181618417</c:v>
                </c:pt>
                <c:pt idx="398">
                  <c:v>138.92660942373141</c:v>
                </c:pt>
                <c:pt idx="399">
                  <c:v>139.36422679410404</c:v>
                </c:pt>
                <c:pt idx="400">
                  <c:v>139.77773559545466</c:v>
                </c:pt>
                <c:pt idx="401">
                  <c:v>140.16771916768374</c:v>
                </c:pt>
                <c:pt idx="402">
                  <c:v>140.53478768008353</c:v>
                </c:pt>
                <c:pt idx="403">
                  <c:v>140.87957382459325</c:v>
                </c:pt>
                <c:pt idx="404">
                  <c:v>141.20272901545923</c:v>
                </c:pt>
                <c:pt idx="405">
                  <c:v>141.50492006178121</c:v>
                </c:pt>
                <c:pt idx="406">
                  <c:v>141.78682627663801</c:v>
                </c:pt>
                <c:pt idx="407">
                  <c:v>142.04913698493093</c:v>
                </c:pt>
                <c:pt idx="408">
                  <c:v>142.29254939155666</c:v>
                </c:pt>
                <c:pt idx="409">
                  <c:v>142.5177667718043</c:v>
                </c:pt>
                <c:pt idx="410">
                  <c:v>142.725496946769</c:v>
                </c:pt>
                <c:pt idx="411">
                  <c:v>142.91645100797444</c:v>
                </c:pt>
                <c:pt idx="412">
                  <c:v>143.09134225710824</c:v>
                </c:pt>
                <c:pt idx="413">
                  <c:v>143.25088532875904</c:v>
                </c:pt>
                <c:pt idx="414">
                  <c:v>143.39579546616577</c:v>
                </c:pt>
                <c:pt idx="415">
                  <c:v>143.52678792219322</c:v>
                </c:pt>
                <c:pt idx="416">
                  <c:v>143.64457746001486</c:v>
                </c:pt>
                <c:pt idx="417">
                  <c:v>143.7498779302135</c:v>
                </c:pt>
                <c:pt idx="418">
                  <c:v>143.84340190322627</c:v>
                </c:pt>
                <c:pt idx="419">
                  <c:v>143.92586033822502</c:v>
                </c:pt>
                <c:pt idx="420">
                  <c:v>143.99796227159828</c:v>
                </c:pt>
                <c:pt idx="421">
                  <c:v>144.06041451022782</c:v>
                </c:pt>
                <c:pt idx="422">
                  <c:v>144.11392131666631</c:v>
                </c:pt>
                <c:pt idx="423">
                  <c:v>144.15918407517617</c:v>
                </c:pt>
                <c:pt idx="424">
                  <c:v>144.19690092933661</c:v>
                </c:pt>
                <c:pt idx="425">
                  <c:v>144.22776638359176</c:v>
                </c:pt>
                <c:pt idx="426">
                  <c:v>144.25247086269675</c:v>
                </c:pt>
                <c:pt idx="427">
                  <c:v>144.27170022450022</c:v>
                </c:pt>
                <c:pt idx="428">
                  <c:v>144.28613522290797</c:v>
                </c:pt>
                <c:pt idx="429">
                  <c:v>144.2964509191948</c:v>
                </c:pt>
                <c:pt idx="430">
                  <c:v>144.30331604104185</c:v>
                </c:pt>
                <c:pt idx="431">
                  <c:v>144.30739228982878</c:v>
                </c:pt>
                <c:pt idx="432">
                  <c:v>144.30933359775472</c:v>
                </c:pt>
                <c:pt idx="433">
                  <c:v>144.30978533730922</c:v>
                </c:pt>
                <c:pt idx="434">
                  <c:v>144.30938348648908</c:v>
                </c:pt>
                <c:pt idx="435">
                  <c:v>144.30875375392242</c:v>
                </c:pt>
                <c:pt idx="436">
                  <c:v>144.30851066873262</c:v>
                </c:pt>
                <c:pt idx="437">
                  <c:v>144.30925664056394</c:v>
                </c:pt>
                <c:pt idx="438">
                  <c:v>144.31158099567034</c:v>
                </c:pt>
                <c:pt idx="439">
                  <c:v>144.31605899536601</c:v>
                </c:pt>
                <c:pt idx="440">
                  <c:v>144.32325084343859</c:v>
                </c:pt>
                <c:pt idx="441">
                  <c:v>144.33370068933664</c:v>
                </c:pt>
                <c:pt idx="442">
                  <c:v>144.34793563407484</c:v>
                </c:pt>
                <c:pt idx="443">
                  <c:v>144.36646474584688</c:v>
                </c:pt>
                <c:pt idx="444">
                  <c:v>144.38977809230826</c:v>
                </c:pt>
                <c:pt idx="445">
                  <c:v>144.41834579639325</c:v>
                </c:pt>
                <c:pt idx="446">
                  <c:v>144.45261712236774</c:v>
                </c:pt>
                <c:pt idx="447">
                  <c:v>144.49301959860554</c:v>
                </c:pt>
                <c:pt idx="448">
                  <c:v>144.5399581833052</c:v>
                </c:pt>
                <c:pt idx="449">
                  <c:v>144.59381447904661</c:v>
                </c:pt>
                <c:pt idx="450">
                  <c:v>144.65494600175279</c:v>
                </c:pt>
                <c:pt idx="451">
                  <c:v>144.72368550922693</c:v>
                </c:pt>
                <c:pt idx="452">
                  <c:v>144.80034039405299</c:v>
                </c:pt>
                <c:pt idx="453">
                  <c:v>144.88519214520207</c:v>
                </c:pt>
                <c:pt idx="454">
                  <c:v>144.97849588228399</c:v>
                </c:pt>
                <c:pt idx="455">
                  <c:v>145.08047996590955</c:v>
                </c:pt>
                <c:pt idx="456">
                  <c:v>145.19134568720449</c:v>
                </c:pt>
                <c:pt idx="457">
                  <c:v>145.31126703904954</c:v>
                </c:pt>
                <c:pt idx="458">
                  <c:v>145.44039057116657</c:v>
                </c:pt>
                <c:pt idx="459">
                  <c:v>145.57883533072558</c:v>
                </c:pt>
                <c:pt idx="460">
                  <c:v>145.72669288968356</c:v>
                </c:pt>
                <c:pt idx="461">
                  <c:v>145.88402745961062</c:v>
                </c:pt>
                <c:pt idx="462">
                  <c:v>146.0508760943186</c:v>
                </c:pt>
                <c:pt idx="463">
                  <c:v>146.22724898012703</c:v>
                </c:pt>
                <c:pt idx="464">
                  <c:v>146.41312981317418</c:v>
                </c:pt>
                <c:pt idx="465">
                  <c:v>146.60847626269958</c:v>
                </c:pt>
                <c:pt idx="466">
                  <c:v>146.813220518782</c:v>
                </c:pt>
                <c:pt idx="467">
                  <c:v>147.02726992255009</c:v>
                </c:pt>
                <c:pt idx="468">
                  <c:v>147.25050767642361</c:v>
                </c:pt>
                <c:pt idx="469">
                  <c:v>147.48279363149109</c:v>
                </c:pt>
                <c:pt idx="470">
                  <c:v>147.72396514866711</c:v>
                </c:pt>
                <c:pt idx="471">
                  <c:v>147.97383802983293</c:v>
                </c:pt>
                <c:pt idx="472">
                  <c:v>148.23220751471777</c:v>
                </c:pt>
                <c:pt idx="473">
                  <c:v>148.49884933886329</c:v>
                </c:pt>
                <c:pt idx="474">
                  <c:v>148.773520847599</c:v>
                </c:pt>
                <c:pt idx="475">
                  <c:v>149.0559621605822</c:v>
                </c:pt>
                <c:pt idx="476">
                  <c:v>149.34589738110427</c:v>
                </c:pt>
                <c:pt idx="477">
                  <c:v>149.64303584403899</c:v>
                </c:pt>
                <c:pt idx="478">
                  <c:v>149.94707339604608</c:v>
                </c:pt>
                <c:pt idx="479">
                  <c:v>150.25769370140176</c:v>
                </c:pt>
                <c:pt idx="480">
                  <c:v>150.57456956666002</c:v>
                </c:pt>
                <c:pt idx="481">
                  <c:v>150.89736427720956</c:v>
                </c:pt>
                <c:pt idx="482">
                  <c:v>151.22573293874802</c:v>
                </c:pt>
                <c:pt idx="483">
                  <c:v>151.5593238166756</c:v>
                </c:pt>
                <c:pt idx="484">
                  <c:v>151.8977796664856</c:v>
                </c:pt>
                <c:pt idx="485">
                  <c:v>152.24073904834589</c:v>
                </c:pt>
                <c:pt idx="486">
                  <c:v>152.58783761927037</c:v>
                </c:pt>
                <c:pt idx="487">
                  <c:v>152.93870939651916</c:v>
                </c:pt>
                <c:pt idx="488">
                  <c:v>153.29298798619166</c:v>
                </c:pt>
                <c:pt idx="489">
                  <c:v>153.65030777134402</c:v>
                </c:pt>
                <c:pt idx="490">
                  <c:v>154.0103050543795</c:v>
                </c:pt>
                <c:pt idx="491">
                  <c:v>154.37261914892903</c:v>
                </c:pt>
                <c:pt idx="492">
                  <c:v>154.73689341694612</c:v>
                </c:pt>
                <c:pt idx="493">
                  <c:v>155.10277624726763</c:v>
                </c:pt>
                <c:pt idx="494">
                  <c:v>155.46992197246061</c:v>
                </c:pt>
                <c:pt idx="495">
                  <c:v>155.83799172133465</c:v>
                </c:pt>
                <c:pt idx="496">
                  <c:v>156.20665420509056</c:v>
                </c:pt>
                <c:pt idx="497">
                  <c:v>156.57558643565531</c:v>
                </c:pt>
                <c:pt idx="498">
                  <c:v>156.94447437530985</c:v>
                </c:pt>
                <c:pt idx="499">
                  <c:v>157.31301351729024</c:v>
                </c:pt>
                <c:pt idx="500">
                  <c:v>157.68090939756186</c:v>
                </c:pt>
                <c:pt idx="501">
                  <c:v>158.04787803847273</c:v>
                </c:pt>
                <c:pt idx="502">
                  <c:v>158.41364632546899</c:v>
                </c:pt>
                <c:pt idx="503">
                  <c:v>158.77795231847909</c:v>
                </c:pt>
                <c:pt idx="504">
                  <c:v>159.14054549997437</c:v>
                </c:pt>
                <c:pt idx="505">
                  <c:v>159.50118696205615</c:v>
                </c:pt>
                <c:pt idx="506">
                  <c:v>159.85964953522588</c:v>
                </c:pt>
                <c:pt idx="507">
                  <c:v>160.2157178617536</c:v>
                </c:pt>
                <c:pt idx="508">
                  <c:v>160.56918841676784</c:v>
                </c:pt>
                <c:pt idx="509">
                  <c:v>160.91986948036103</c:v>
                </c:pt>
                <c:pt idx="510">
                  <c:v>161.26758106412711</c:v>
                </c:pt>
                <c:pt idx="511">
                  <c:v>161.61215479562881</c:v>
                </c:pt>
                <c:pt idx="512">
                  <c:v>161.95343376433163</c:v>
                </c:pt>
                <c:pt idx="513">
                  <c:v>162.29127233255605</c:v>
                </c:pt>
                <c:pt idx="514">
                  <c:v>162.62553591496209</c:v>
                </c:pt>
                <c:pt idx="515">
                  <c:v>162.9561007300305</c:v>
                </c:pt>
                <c:pt idx="516">
                  <c:v>163.28285352691751</c:v>
                </c:pt>
                <c:pt idx="517">
                  <c:v>163.60569129095276</c:v>
                </c:pt>
                <c:pt idx="518">
                  <c:v>163.92452093092871</c:v>
                </c:pt>
                <c:pt idx="519">
                  <c:v>164.23925895117867</c:v>
                </c:pt>
                <c:pt idx="520">
                  <c:v>164.54983111129062</c:v>
                </c:pt>
                <c:pt idx="521">
                  <c:v>164.85617207613927</c:v>
                </c:pt>
                <c:pt idx="522">
                  <c:v>165.15822505873797</c:v>
                </c:pt>
                <c:pt idx="523">
                  <c:v>165.45594145824504</c:v>
                </c:pt>
                <c:pt idx="524">
                  <c:v>165.74928049527188</c:v>
                </c:pt>
                <c:pt idx="525">
                  <c:v>166.03820884646183</c:v>
                </c:pt>
                <c:pt idx="526">
                  <c:v>166.32270028013568</c:v>
                </c:pt>
                <c:pt idx="527">
                  <c:v>166.60273529461872</c:v>
                </c:pt>
                <c:pt idx="528">
                  <c:v>166.87830076070179</c:v>
                </c:pt>
                <c:pt idx="529">
                  <c:v>167.14938956952045</c:v>
                </c:pt>
                <c:pt idx="530">
                  <c:v>167.41600028698389</c:v>
                </c:pt>
                <c:pt idx="531">
                  <c:v>167.67813681573401</c:v>
                </c:pt>
                <c:pt idx="532">
                  <c:v>167.9358080654782</c:v>
                </c:pt>
                <c:pt idx="533">
                  <c:v>168.18902763240675</c:v>
                </c:pt>
                <c:pt idx="534">
                  <c:v>168.43781348828063</c:v>
                </c:pt>
                <c:pt idx="535">
                  <c:v>168.68218767966891</c:v>
                </c:pt>
                <c:pt idx="536">
                  <c:v>168.92217603770195</c:v>
                </c:pt>
                <c:pt idx="537">
                  <c:v>169.15780789861867</c:v>
                </c:pt>
                <c:pt idx="538">
                  <c:v>169.38911583529526</c:v>
                </c:pt>
                <c:pt idx="539">
                  <c:v>169.61613539986359</c:v>
                </c:pt>
                <c:pt idx="540">
                  <c:v>169.83890487745953</c:v>
                </c:pt>
                <c:pt idx="541">
                  <c:v>170.05746505107828</c:v>
                </c:pt>
              </c:numCache>
            </c:numRef>
          </c:yVal>
          <c:smooth val="1"/>
          <c:extLst>
            <c:ext xmlns:c16="http://schemas.microsoft.com/office/drawing/2014/chart" uri="{C3380CC4-5D6E-409C-BE32-E72D297353CC}">
              <c16:uniqueId val="{00000001-F188-4D39-B62C-FFCB026FFDB3}"/>
            </c:ext>
          </c:extLst>
        </c:ser>
        <c:dLbls>
          <c:showLegendKey val="0"/>
          <c:showVal val="0"/>
          <c:showCatName val="0"/>
          <c:showSerName val="0"/>
          <c:showPercent val="0"/>
          <c:showBubbleSize val="0"/>
        </c:dLbls>
        <c:axId val="161005952"/>
        <c:axId val="160987776"/>
      </c:scatterChart>
      <c:valAx>
        <c:axId val="160959104"/>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0985856"/>
        <c:crosses val="autoZero"/>
        <c:crossBetween val="midCat"/>
      </c:valAx>
      <c:valAx>
        <c:axId val="160985856"/>
        <c:scaling>
          <c:orientation val="minMax"/>
          <c:max val="40"/>
          <c:min val="-4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a:solidFill>
                  <a:srgbClr val="FF0000"/>
                </a:solidFill>
              </a:defRPr>
            </a:pPr>
            <a:endParaRPr lang="en-US"/>
          </a:p>
        </c:txPr>
        <c:crossAx val="160959104"/>
        <c:crosses val="autoZero"/>
        <c:crossBetween val="midCat"/>
        <c:majorUnit val="20"/>
        <c:minorUnit val="10"/>
      </c:valAx>
      <c:valAx>
        <c:axId val="160987776"/>
        <c:scaling>
          <c:orientation val="minMax"/>
          <c:max val="180"/>
          <c:min val="-180"/>
        </c:scaling>
        <c:delete val="0"/>
        <c:axPos val="r"/>
        <c:numFmt formatCode="General" sourceLinked="1"/>
        <c:majorTickMark val="out"/>
        <c:minorTickMark val="none"/>
        <c:tickLblPos val="nextTo"/>
        <c:txPr>
          <a:bodyPr/>
          <a:lstStyle/>
          <a:p>
            <a:pPr>
              <a:defRPr>
                <a:solidFill>
                  <a:schemeClr val="tx1">
                    <a:lumMod val="95000"/>
                    <a:lumOff val="5000"/>
                  </a:schemeClr>
                </a:solidFill>
              </a:defRPr>
            </a:pPr>
            <a:endParaRPr lang="en-US"/>
          </a:p>
        </c:txPr>
        <c:crossAx val="161005952"/>
        <c:crosses val="max"/>
        <c:crossBetween val="midCat"/>
        <c:majorUnit val="90"/>
        <c:minorUnit val="45"/>
      </c:valAx>
      <c:valAx>
        <c:axId val="161005952"/>
        <c:scaling>
          <c:logBase val="10"/>
          <c:orientation val="minMax"/>
        </c:scaling>
        <c:delete val="1"/>
        <c:axPos val="b"/>
        <c:numFmt formatCode="0.00" sourceLinked="1"/>
        <c:majorTickMark val="out"/>
        <c:minorTickMark val="none"/>
        <c:tickLblPos val="nextTo"/>
        <c:crossAx val="160987776"/>
        <c:crosses val="autoZero"/>
        <c:crossBetween val="midCat"/>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Eff_vs_IOUT!$AT$7:$AT$157</c:f>
              <c:numCache>
                <c:formatCode>General</c:formatCode>
                <c:ptCount val="151"/>
                <c:pt idx="0">
                  <c:v>0</c:v>
                </c:pt>
                <c:pt idx="1">
                  <c:v>1.2739370890355757</c:v>
                </c:pt>
                <c:pt idx="2">
                  <c:v>2.5145288177679066</c:v>
                </c:pt>
                <c:pt idx="3">
                  <c:v>3.7230225804615915</c:v>
                </c:pt>
                <c:pt idx="4">
                  <c:v>4.9006155689063595</c:v>
                </c:pt>
                <c:pt idx="5">
                  <c:v>6.0484513561556534</c:v>
                </c:pt>
                <c:pt idx="6">
                  <c:v>7.1676209469100058</c:v>
                </c:pt>
                <c:pt idx="7">
                  <c:v>8.2591648386577035</c:v>
                </c:pt>
                <c:pt idx="8">
                  <c:v>9.3240753831229028</c:v>
                </c:pt>
                <c:pt idx="9">
                  <c:v>10.36329920626541</c:v>
                </c:pt>
                <c:pt idx="10">
                  <c:v>11.377739587335169</c:v>
                </c:pt>
                <c:pt idx="11">
                  <c:v>12.368258752640623</c:v>
                </c:pt>
                <c:pt idx="12">
                  <c:v>13.335680064403807</c:v>
                </c:pt>
                <c:pt idx="13">
                  <c:v>14.280790097216322</c:v>
                </c:pt>
                <c:pt idx="14">
                  <c:v>15.204340600926573</c:v>
                </c:pt>
                <c:pt idx="15">
                  <c:v>16.107050352171122</c:v>
                </c:pt>
                <c:pt idx="16">
                  <c:v>16.989606898574198</c:v>
                </c:pt>
                <c:pt idx="17">
                  <c:v>17.852668200569379</c:v>
                </c:pt>
                <c:pt idx="18">
                  <c:v>18.696864176218085</c:v>
                </c:pt>
                <c:pt idx="19">
                  <c:v>19.522798154519464</c:v>
                </c:pt>
                <c:pt idx="20">
                  <c:v>20.331048242647199</c:v>
                </c:pt>
                <c:pt idx="21">
                  <c:v>21.122168612385309</c:v>
                </c:pt>
                <c:pt idx="22">
                  <c:v>21.896690710811125</c:v>
                </c:pt>
                <c:pt idx="23">
                  <c:v>22.655124400018451</c:v>
                </c:pt>
                <c:pt idx="24">
                  <c:v>23.397959030405257</c:v>
                </c:pt>
                <c:pt idx="25">
                  <c:v>24.125664451778714</c:v>
                </c:pt>
                <c:pt idx="26">
                  <c:v>24.838691966263944</c:v>
                </c:pt>
                <c:pt idx="27">
                  <c:v>25.537475226745158</c:v>
                </c:pt>
                <c:pt idx="28">
                  <c:v>26.222431084322</c:v>
                </c:pt>
                <c:pt idx="29">
                  <c:v>26.893960388030706</c:v>
                </c:pt>
                <c:pt idx="30">
                  <c:v>27.552448739860314</c:v>
                </c:pt>
                <c:pt idx="31">
                  <c:v>28.198267207888051</c:v>
                </c:pt>
                <c:pt idx="32">
                  <c:v>28.831773000165949</c:v>
                </c:pt>
                <c:pt idx="33">
                  <c:v>29.453310101810587</c:v>
                </c:pt>
                <c:pt idx="34">
                  <c:v>30.063209877581059</c:v>
                </c:pt>
                <c:pt idx="35">
                  <c:v>30.661791642074476</c:v>
                </c:pt>
                <c:pt idx="36">
                  <c:v>31.249363199523678</c:v>
                </c:pt>
                <c:pt idx="37">
                  <c:v>31.82622135504764</c:v>
                </c:pt>
                <c:pt idx="38">
                  <c:v>32.392652399080255</c:v>
                </c:pt>
                <c:pt idx="39">
                  <c:v>32.948932566587388</c:v>
                </c:pt>
                <c:pt idx="40">
                  <c:v>33.495328472574776</c:v>
                </c:pt>
                <c:pt idx="41">
                  <c:v>34.032097525289444</c:v>
                </c:pt>
                <c:pt idx="42">
                  <c:v>34.559488318424869</c:v>
                </c:pt>
                <c:pt idx="43">
                  <c:v>35.077741003553918</c:v>
                </c:pt>
                <c:pt idx="44">
                  <c:v>35.587087643934204</c:v>
                </c:pt>
                <c:pt idx="45">
                  <c:v>36.087752550755766</c:v>
                </c:pt>
                <c:pt idx="46">
                  <c:v>36.579952602832506</c:v>
                </c:pt>
                <c:pt idx="47">
                  <c:v>37.06389755067466</c:v>
                </c:pt>
                <c:pt idx="48">
                  <c:v>37.539790305819814</c:v>
                </c:pt>
                <c:pt idx="49">
                  <c:v>38.007827216244969</c:v>
                </c:pt>
                <c:pt idx="50">
                  <c:v>38.468198328630059</c:v>
                </c:pt>
                <c:pt idx="51">
                  <c:v>38.921087638195985</c:v>
                </c:pt>
                <c:pt idx="52">
                  <c:v>39.366673326794839</c:v>
                </c:pt>
                <c:pt idx="53">
                  <c:v>39.805127989888959</c:v>
                </c:pt>
                <c:pt idx="54">
                  <c:v>40.236618853016068</c:v>
                </c:pt>
                <c:pt idx="55">
                  <c:v>40.66130797830214</c:v>
                </c:pt>
                <c:pt idx="56">
                  <c:v>41.079352461549092</c:v>
                </c:pt>
                <c:pt idx="57">
                  <c:v>41.490904620393735</c:v>
                </c:pt>
                <c:pt idx="58">
                  <c:v>41.896112174004266</c:v>
                </c:pt>
                <c:pt idx="59">
                  <c:v>42.295118414753382</c:v>
                </c:pt>
                <c:pt idx="60">
                  <c:v>42.688062372281479</c:v>
                </c:pt>
                <c:pt idx="61">
                  <c:v>43.075078970338978</c:v>
                </c:pt>
                <c:pt idx="62">
                  <c:v>43.45629917677482</c:v>
                </c:pt>
                <c:pt idx="63">
                  <c:v>43.831850147016802</c:v>
                </c:pt>
                <c:pt idx="64">
                  <c:v>44.201855361369624</c:v>
                </c:pt>
                <c:pt idx="65">
                  <c:v>44.566434756438525</c:v>
                </c:pt>
                <c:pt idx="66">
                  <c:v>44.925704850968557</c:v>
                </c:pt>
                <c:pt idx="67">
                  <c:v>45.279778866373618</c:v>
                </c:pt>
                <c:pt idx="68">
                  <c:v>45.628766842214226</c:v>
                </c:pt>
                <c:pt idx="69">
                  <c:v>45.972775746868386</c:v>
                </c:pt>
                <c:pt idx="70">
                  <c:v>46.311909583626964</c:v>
                </c:pt>
                <c:pt idx="71">
                  <c:v>46.64626949243199</c:v>
                </c:pt>
                <c:pt idx="72">
                  <c:v>46.975953847464879</c:v>
                </c:pt>
                <c:pt idx="73">
                  <c:v>47.301058350779975</c:v>
                </c:pt>
                <c:pt idx="74">
                  <c:v>47.621676122168942</c:v>
                </c:pt>
                <c:pt idx="75">
                  <c:v>47.937897785431318</c:v>
                </c:pt>
                <c:pt idx="76">
                  <c:v>48.249811551217206</c:v>
                </c:pt>
                <c:pt idx="77">
                  <c:v>48.55750329659994</c:v>
                </c:pt>
                <c:pt idx="78">
                  <c:v>48.861056641527732</c:v>
                </c:pt>
                <c:pt idx="79">
                  <c:v>49.160553022295922</c:v>
                </c:pt>
                <c:pt idx="80">
                  <c:v>49.456071762174197</c:v>
                </c:pt>
                <c:pt idx="81">
                  <c:v>49.747690139316134</c:v>
                </c:pt>
                <c:pt idx="82">
                  <c:v>50.035483452072107</c:v>
                </c:pt>
                <c:pt idx="83">
                  <c:v>50.319525081820281</c:v>
                </c:pt>
                <c:pt idx="84">
                  <c:v>50.59988655342498</c:v>
                </c:pt>
                <c:pt idx="85">
                  <c:v>50.876637593426025</c:v>
                </c:pt>
                <c:pt idx="86">
                  <c:v>51.149846186057502</c:v>
                </c:pt>
                <c:pt idx="87">
                  <c:v>51.419578627189807</c:v>
                </c:pt>
                <c:pt idx="88">
                  <c:v>51.685899576283923</c:v>
                </c:pt>
                <c:pt idx="89">
                  <c:v>51.948872106442813</c:v>
                </c:pt>
                <c:pt idx="90">
                  <c:v>52.208557752640459</c:v>
                </c:pt>
                <c:pt idx="91">
                  <c:v>52.465016558205626</c:v>
                </c:pt>
                <c:pt idx="92">
                  <c:v>52.718307119633025</c:v>
                </c:pt>
                <c:pt idx="93">
                  <c:v>52.968486629792054</c:v>
                </c:pt>
                <c:pt idx="94">
                  <c:v>53.215610919598952</c:v>
                </c:pt>
                <c:pt idx="95">
                  <c:v>53.459734498216136</c:v>
                </c:pt>
                <c:pt idx="96">
                  <c:v>53.700910591838436</c:v>
                </c:pt>
                <c:pt idx="97">
                  <c:v>53.939191181124357</c:v>
                </c:pt>
                <c:pt idx="98">
                  <c:v>54.174627037326673</c:v>
                </c:pt>
                <c:pt idx="99">
                  <c:v>54.407267757174893</c:v>
                </c:pt>
                <c:pt idx="100">
                  <c:v>54.637161796559631</c:v>
                </c:pt>
                <c:pt idx="101">
                  <c:v>54.864356503066325</c:v>
                </c:pt>
                <c:pt idx="102">
                  <c:v>55.088898147404066</c:v>
                </c:pt>
                <c:pt idx="103">
                  <c:v>55.310831953772677</c:v>
                </c:pt>
                <c:pt idx="104">
                  <c:v>55.53020212921006</c:v>
                </c:pt>
                <c:pt idx="105">
                  <c:v>55.747051891958911</c:v>
                </c:pt>
                <c:pt idx="106">
                  <c:v>55.961423498891293</c:v>
                </c:pt>
                <c:pt idx="107">
                  <c:v>56.173358272026931</c:v>
                </c:pt>
                <c:pt idx="108">
                  <c:v>56.382896624180134</c:v>
                </c:pt>
                <c:pt idx="109">
                  <c:v>56.590078083768461</c:v>
                </c:pt>
                <c:pt idx="110">
                  <c:v>56.794941318814864</c:v>
                </c:pt>
                <c:pt idx="111">
                  <c:v>56.997524160173676</c:v>
                </c:pt>
                <c:pt idx="112">
                  <c:v>57.197863624009607</c:v>
                </c:pt>
                <c:pt idx="113">
                  <c:v>57.395995933557423</c:v>
                </c:pt>
                <c:pt idx="114">
                  <c:v>57.591956540189237</c:v>
                </c:pt>
                <c:pt idx="115">
                  <c:v>57.785780143814634</c:v>
                </c:pt>
                <c:pt idx="116">
                  <c:v>57.97750071263841</c:v>
                </c:pt>
                <c:pt idx="117">
                  <c:v>58.16715150229912</c:v>
                </c:pt>
                <c:pt idx="118">
                  <c:v>58.354765074411162</c:v>
                </c:pt>
                <c:pt idx="119">
                  <c:v>58.540373314531735</c:v>
                </c:pt>
                <c:pt idx="120">
                  <c:v>58.724007449573421</c:v>
                </c:pt>
                <c:pt idx="121">
                  <c:v>58.905698064682298</c:v>
                </c:pt>
                <c:pt idx="122">
                  <c:v>59.085475119600503</c:v>
                </c:pt>
                <c:pt idx="123">
                  <c:v>59.263367964531554</c:v>
                </c:pt>
                <c:pt idx="124">
                  <c:v>59.439405355525857</c:v>
                </c:pt>
                <c:pt idx="125">
                  <c:v>59.613615469403328</c:v>
                </c:pt>
                <c:pt idx="126">
                  <c:v>59.786025918229328</c:v>
                </c:pt>
                <c:pt idx="127">
                  <c:v>59.956663763359138</c:v>
                </c:pt>
                <c:pt idx="128">
                  <c:v>60.125555529066233</c:v>
                </c:pt>
                <c:pt idx="129">
                  <c:v>60.292727215768373</c:v>
                </c:pt>
                <c:pt idx="130">
                  <c:v>60.458204312865469</c:v>
                </c:pt>
                <c:pt idx="131">
                  <c:v>60.622011811202348</c:v>
                </c:pt>
                <c:pt idx="132">
                  <c:v>60.78417421516901</c:v>
                </c:pt>
                <c:pt idx="133">
                  <c:v>60.944715554450958</c:v>
                </c:pt>
                <c:pt idx="134">
                  <c:v>61.103659395440921</c:v>
                </c:pt>
                <c:pt idx="135">
                  <c:v>61.261028852323548</c:v>
                </c:pt>
                <c:pt idx="136">
                  <c:v>61.416846597843765</c:v>
                </c:pt>
                <c:pt idx="137">
                  <c:v>61.571134873769608</c:v>
                </c:pt>
                <c:pt idx="138">
                  <c:v>61.723915501059004</c:v>
                </c:pt>
                <c:pt idx="139">
                  <c:v>61.87520988974088</c:v>
                </c:pt>
                <c:pt idx="140">
                  <c:v>62.025039048519318</c:v>
                </c:pt>
                <c:pt idx="141">
                  <c:v>62.17342359411019</c:v>
                </c:pt>
                <c:pt idx="142">
                  <c:v>62.320383760318698</c:v>
                </c:pt>
                <c:pt idx="143">
                  <c:v>62.465939406866219</c:v>
                </c:pt>
                <c:pt idx="144">
                  <c:v>62.610110027974422</c:v>
                </c:pt>
                <c:pt idx="145">
                  <c:v>62.752914760714532</c:v>
                </c:pt>
                <c:pt idx="146">
                  <c:v>62.894372393129103</c:v>
                </c:pt>
                <c:pt idx="147">
                  <c:v>63.034501372133491</c:v>
                </c:pt>
                <c:pt idx="148">
                  <c:v>63.173319811203918</c:v>
                </c:pt>
                <c:pt idx="149">
                  <c:v>63.310845497858978</c:v>
                </c:pt>
                <c:pt idx="150">
                  <c:v>63.447095900940845</c:v>
                </c:pt>
              </c:numCache>
            </c:numRef>
          </c:yVal>
          <c:smooth val="0"/>
          <c:extLst>
            <c:ext xmlns:c16="http://schemas.microsoft.com/office/drawing/2014/chart" uri="{C3380CC4-5D6E-409C-BE32-E72D297353CC}">
              <c16:uniqueId val="{00000000-D428-476F-9D9B-414A5D21B4D3}"/>
            </c:ext>
          </c:extLst>
        </c:ser>
        <c:dLbls>
          <c:showLegendKey val="0"/>
          <c:showVal val="0"/>
          <c:showCatName val="0"/>
          <c:showSerName val="0"/>
          <c:showPercent val="0"/>
          <c:showBubbleSize val="0"/>
        </c:dLbls>
        <c:axId val="161084544"/>
        <c:axId val="161086080"/>
      </c:scatterChart>
      <c:scatterChart>
        <c:scatterStyle val="smoothMarker"/>
        <c:varyColors val="0"/>
        <c:ser>
          <c:idx val="1"/>
          <c:order val="1"/>
          <c:tx>
            <c:v>MOSFET</c:v>
          </c:tx>
          <c:spPr>
            <a:ln>
              <a:solidFill>
                <a:schemeClr val="tx2">
                  <a:lumMod val="75000"/>
                </a:schemeClr>
              </a:solidFill>
              <a:prstDash val="dashDot"/>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Eff_vs_IOUT!$AI$7:$AI$157</c:f>
              <c:numCache>
                <c:formatCode>General</c:formatCode>
                <c:ptCount val="151"/>
                <c:pt idx="0">
                  <c:v>0</c:v>
                </c:pt>
                <c:pt idx="1">
                  <c:v>3.7598317643737229E-4</c:v>
                </c:pt>
                <c:pt idx="2">
                  <c:v>7.5407489816704202E-4</c:v>
                </c:pt>
                <c:pt idx="3">
                  <c:v>1.1335392628127967E-3</c:v>
                </c:pt>
                <c:pt idx="4">
                  <c:v>1.5141136630325742E-3</c:v>
                </c:pt>
                <c:pt idx="5">
                  <c:v>1.8956463262842544E-3</c:v>
                </c:pt>
                <c:pt idx="6">
                  <c:v>2.2780348483545515E-3</c:v>
                </c:pt>
                <c:pt idx="7">
                  <c:v>2.661204051705533E-3</c:v>
                </c:pt>
                <c:pt idx="8">
                  <c:v>3.045095688403528E-3</c:v>
                </c:pt>
                <c:pt idx="9">
                  <c:v>3.4296628957102325E-3</c:v>
                </c:pt>
                <c:pt idx="10">
                  <c:v>3.8148669056045801E-3</c:v>
                </c:pt>
                <c:pt idx="11">
                  <c:v>4.20067495039784E-3</c:v>
                </c:pt>
                <c:pt idx="12">
                  <c:v>4.5870588571031608E-3</c:v>
                </c:pt>
                <c:pt idx="13">
                  <c:v>4.973994063947597E-3</c:v>
                </c:pt>
                <c:pt idx="14">
                  <c:v>5.3614589087118119E-3</c:v>
                </c:pt>
                <c:pt idx="15">
                  <c:v>5.7494340992709052E-3</c:v>
                </c:pt>
                <c:pt idx="16">
                  <c:v>6.137902310394976E-3</c:v>
                </c:pt>
                <c:pt idx="17">
                  <c:v>6.5268478705364759E-3</c:v>
                </c:pt>
                <c:pt idx="18">
                  <c:v>6.9162565143124971E-3</c:v>
                </c:pt>
                <c:pt idx="19">
                  <c:v>7.306115183956411E-3</c:v>
                </c:pt>
                <c:pt idx="20">
                  <c:v>7.6964118679420154E-3</c:v>
                </c:pt>
                <c:pt idx="21">
                  <c:v>8.0871354682820768E-3</c:v>
                </c:pt>
                <c:pt idx="22">
                  <c:v>8.4782756902639107E-3</c:v>
                </c:pt>
                <c:pt idx="23">
                  <c:v>8.8698229499672085E-3</c:v>
                </c:pt>
                <c:pt idx="24">
                  <c:v>9.2617682960379876E-3</c:v>
                </c:pt>
                <c:pt idx="25">
                  <c:v>9.6541033430114324E-3</c:v>
                </c:pt>
                <c:pt idx="26">
                  <c:v>1.004682021407941E-2</c:v>
                </c:pt>
                <c:pt idx="27">
                  <c:v>1.0439911491649058E-2</c:v>
                </c:pt>
                <c:pt idx="28">
                  <c:v>1.0833370174379435E-2</c:v>
                </c:pt>
                <c:pt idx="29">
                  <c:v>1.1227189639644045E-2</c:v>
                </c:pt>
                <c:pt idx="30">
                  <c:v>1.162136361056869E-2</c:v>
                </c:pt>
                <c:pt idx="31">
                  <c:v>1.2015886126951609E-2</c:v>
                </c:pt>
                <c:pt idx="32">
                  <c:v>1.241075151949699E-2</c:v>
                </c:pt>
                <c:pt idx="33">
                  <c:v>1.2805954386891709E-2</c:v>
                </c:pt>
                <c:pt idx="34">
                  <c:v>1.3201489575334154E-2</c:v>
                </c:pt>
                <c:pt idx="35">
                  <c:v>1.3597352160187809E-2</c:v>
                </c:pt>
                <c:pt idx="36">
                  <c:v>1.3993537429484223E-2</c:v>
                </c:pt>
                <c:pt idx="37">
                  <c:v>1.4390040869042312E-2</c:v>
                </c:pt>
                <c:pt idx="38">
                  <c:v>1.478685814900588E-2</c:v>
                </c:pt>
                <c:pt idx="39">
                  <c:v>1.518398511163023E-2</c:v>
                </c:pt>
                <c:pt idx="40">
                  <c:v>1.55814177601726E-2</c:v>
                </c:pt>
                <c:pt idx="41">
                  <c:v>1.5979152248761435E-2</c:v>
                </c:pt>
                <c:pt idx="42">
                  <c:v>1.6377184873136268E-2</c:v>
                </c:pt>
                <c:pt idx="43">
                  <c:v>1.6775512062164367E-2</c:v>
                </c:pt>
                <c:pt idx="44">
                  <c:v>1.717413037005228E-2</c:v>
                </c:pt>
                <c:pt idx="45">
                  <c:v>1.7573036469180778E-2</c:v>
                </c:pt>
                <c:pt idx="46">
                  <c:v>1.7972227143500469E-2</c:v>
                </c:pt>
                <c:pt idx="47">
                  <c:v>1.8371699282432898E-2</c:v>
                </c:pt>
                <c:pt idx="48">
                  <c:v>1.8771449875228441E-2</c:v>
                </c:pt>
                <c:pt idx="49">
                  <c:v>1.9171476005737986E-2</c:v>
                </c:pt>
                <c:pt idx="50">
                  <c:v>1.9571774847560047E-2</c:v>
                </c:pt>
                <c:pt idx="51">
                  <c:v>1.9972343659529494E-2</c:v>
                </c:pt>
                <c:pt idx="52">
                  <c:v>2.0373179781517512E-2</c:v>
                </c:pt>
                <c:pt idx="53">
                  <c:v>2.0774280630515663E-2</c:v>
                </c:pt>
                <c:pt idx="54">
                  <c:v>2.1175643696979985E-2</c:v>
                </c:pt>
                <c:pt idx="55">
                  <c:v>2.1577266541413058E-2</c:v>
                </c:pt>
                <c:pt idx="56">
                  <c:v>2.1979146791164833E-2</c:v>
                </c:pt>
                <c:pt idx="57">
                  <c:v>2.2381282137434195E-2</c:v>
                </c:pt>
                <c:pt idx="58">
                  <c:v>2.2783670332455642E-2</c:v>
                </c:pt>
                <c:pt idx="59">
                  <c:v>2.3186309186856411E-2</c:v>
                </c:pt>
                <c:pt idx="60">
                  <c:v>2.3589196567171174E-2</c:v>
                </c:pt>
                <c:pt idx="61">
                  <c:v>2.3992330393502327E-2</c:v>
                </c:pt>
                <c:pt idx="62">
                  <c:v>2.4395708637315088E-2</c:v>
                </c:pt>
                <c:pt idx="63">
                  <c:v>2.4799329319357653E-2</c:v>
                </c:pt>
                <c:pt idx="64">
                  <c:v>2.5203190507697339E-2</c:v>
                </c:pt>
                <c:pt idx="65">
                  <c:v>2.5607290315864593E-2</c:v>
                </c:pt>
                <c:pt idx="66">
                  <c:v>2.601162690109738E-2</c:v>
                </c:pt>
                <c:pt idx="67">
                  <c:v>2.6416198462678959E-2</c:v>
                </c:pt>
                <c:pt idx="68">
                  <c:v>2.6821003240362934E-2</c:v>
                </c:pt>
                <c:pt idx="69">
                  <c:v>2.7226039512879618E-2</c:v>
                </c:pt>
                <c:pt idx="70">
                  <c:v>2.76313055965185E-2</c:v>
                </c:pt>
                <c:pt idx="71">
                  <c:v>2.8036799843781796E-2</c:v>
                </c:pt>
                <c:pt idx="72">
                  <c:v>2.8442520642104698E-2</c:v>
                </c:pt>
                <c:pt idx="73">
                  <c:v>2.8848466412637996E-2</c:v>
                </c:pt>
                <c:pt idx="74">
                  <c:v>2.9254635609089301E-2</c:v>
                </c:pt>
                <c:pt idx="75">
                  <c:v>2.9661026716619281E-2</c:v>
                </c:pt>
                <c:pt idx="76">
                  <c:v>3.0067638250789605E-2</c:v>
                </c:pt>
                <c:pt idx="77">
                  <c:v>3.047446875655942E-2</c:v>
                </c:pt>
                <c:pt idx="78">
                  <c:v>3.088151680732773E-2</c:v>
                </c:pt>
                <c:pt idx="79">
                  <c:v>3.1288781004018759E-2</c:v>
                </c:pt>
                <c:pt idx="80">
                  <c:v>3.1696259974208038E-2</c:v>
                </c:pt>
                <c:pt idx="81">
                  <c:v>3.2103952371286916E-2</c:v>
                </c:pt>
                <c:pt idx="82">
                  <c:v>3.2511856873663092E-2</c:v>
                </c:pt>
                <c:pt idx="83">
                  <c:v>3.2919972183995644E-2</c:v>
                </c:pt>
                <c:pt idx="84">
                  <c:v>3.3328297028462128E-2</c:v>
                </c:pt>
                <c:pt idx="85">
                  <c:v>3.3736830156056621E-2</c:v>
                </c:pt>
                <c:pt idx="86">
                  <c:v>3.4145570337916452E-2</c:v>
                </c:pt>
                <c:pt idx="87">
                  <c:v>3.4554516366676682E-2</c:v>
                </c:pt>
                <c:pt idx="88">
                  <c:v>3.4963667055850398E-2</c:v>
                </c:pt>
                <c:pt idx="89">
                  <c:v>3.537302123923397E-2</c:v>
                </c:pt>
                <c:pt idx="90">
                  <c:v>3.5782577770335479E-2</c:v>
                </c:pt>
                <c:pt idx="91">
                  <c:v>3.6192335521825783E-2</c:v>
                </c:pt>
                <c:pt idx="92">
                  <c:v>3.6602293385010365E-2</c:v>
                </c:pt>
                <c:pt idx="93">
                  <c:v>3.7012450269321713E-2</c:v>
                </c:pt>
                <c:pt idx="94">
                  <c:v>3.7422805101830568E-2</c:v>
                </c:pt>
                <c:pt idx="95">
                  <c:v>3.7833356826775563E-2</c:v>
                </c:pt>
                <c:pt idx="96">
                  <c:v>3.8244104405110196E-2</c:v>
                </c:pt>
                <c:pt idx="97">
                  <c:v>3.8655046814066452E-2</c:v>
                </c:pt>
                <c:pt idx="98">
                  <c:v>3.9066183046733996E-2</c:v>
                </c:pt>
                <c:pt idx="99">
                  <c:v>3.9477512111654692E-2</c:v>
                </c:pt>
                <c:pt idx="100">
                  <c:v>3.9889033032431347E-2</c:v>
                </c:pt>
                <c:pt idx="101">
                  <c:v>4.0300744847350162E-2</c:v>
                </c:pt>
                <c:pt idx="102">
                  <c:v>4.0712646609016433E-2</c:v>
                </c:pt>
                <c:pt idx="103">
                  <c:v>4.1124737384002678E-2</c:v>
                </c:pt>
                <c:pt idx="104">
                  <c:v>4.153701625250876E-2</c:v>
                </c:pt>
                <c:pt idx="105">
                  <c:v>4.194948230803347E-2</c:v>
                </c:pt>
                <c:pt idx="106">
                  <c:v>4.236213465705721E-2</c:v>
                </c:pt>
                <c:pt idx="107">
                  <c:v>4.2774972418734979E-2</c:v>
                </c:pt>
                <c:pt idx="108">
                  <c:v>4.3187994724599547E-2</c:v>
                </c:pt>
                <c:pt idx="109">
                  <c:v>4.3601200718274259E-2</c:v>
                </c:pt>
                <c:pt idx="110">
                  <c:v>4.4014589555195119E-2</c:v>
                </c:pt>
                <c:pt idx="111">
                  <c:v>4.4428160402341599E-2</c:v>
                </c:pt>
                <c:pt idx="112">
                  <c:v>4.4841912437976153E-2</c:v>
                </c:pt>
                <c:pt idx="113">
                  <c:v>4.5255844851391669E-2</c:v>
                </c:pt>
                <c:pt idx="114">
                  <c:v>4.5669956842666969E-2</c:v>
                </c:pt>
                <c:pt idx="115">
                  <c:v>4.6084247622429741E-2</c:v>
                </c:pt>
                <c:pt idx="116">
                  <c:v>4.6498716411626631E-2</c:v>
                </c:pt>
                <c:pt idx="117">
                  <c:v>4.6913362441300427E-2</c:v>
                </c:pt>
                <c:pt idx="118">
                  <c:v>4.7328184952373842E-2</c:v>
                </c:pt>
                <c:pt idx="119">
                  <c:v>4.7743183195439701E-2</c:v>
                </c:pt>
                <c:pt idx="120">
                  <c:v>4.8158356430557402E-2</c:v>
                </c:pt>
                <c:pt idx="121">
                  <c:v>4.8573703927055234E-2</c:v>
                </c:pt>
                <c:pt idx="122">
                  <c:v>4.8989224963338504E-2</c:v>
                </c:pt>
                <c:pt idx="123">
                  <c:v>4.9404918826703066E-2</c:v>
                </c:pt>
                <c:pt idx="124">
                  <c:v>4.9820784813154342E-2</c:v>
                </c:pt>
                <c:pt idx="125">
                  <c:v>5.0236822227231297E-2</c:v>
                </c:pt>
                <c:pt idx="126">
                  <c:v>5.0653030381835433E-2</c:v>
                </c:pt>
                <c:pt idx="127">
                  <c:v>5.1069408598064546E-2</c:v>
                </c:pt>
                <c:pt idx="128">
                  <c:v>5.1485956205050983E-2</c:v>
                </c:pt>
                <c:pt idx="129">
                  <c:v>5.1902672539804517E-2</c:v>
                </c:pt>
                <c:pt idx="130">
                  <c:v>5.2319556947059316E-2</c:v>
                </c:pt>
                <c:pt idx="131">
                  <c:v>5.2736608779125137E-2</c:v>
                </c:pt>
                <c:pt idx="132">
                  <c:v>5.3153827395742329E-2</c:v>
                </c:pt>
                <c:pt idx="133">
                  <c:v>5.357121216394109E-2</c:v>
                </c:pt>
                <c:pt idx="134">
                  <c:v>5.398876245790394E-2</c:v>
                </c:pt>
                <c:pt idx="135">
                  <c:v>5.440647765883215E-2</c:v>
                </c:pt>
                <c:pt idx="136">
                  <c:v>5.4824357154815477E-2</c:v>
                </c:pt>
                <c:pt idx="137">
                  <c:v>5.5242400340705329E-2</c:v>
                </c:pt>
                <c:pt idx="138">
                  <c:v>5.5660606617991111E-2</c:v>
                </c:pt>
                <c:pt idx="139">
                  <c:v>5.6078975394679757E-2</c:v>
                </c:pt>
                <c:pt idx="140">
                  <c:v>5.6497506085178326E-2</c:v>
                </c:pt>
                <c:pt idx="141">
                  <c:v>5.6916198110179436E-2</c:v>
                </c:pt>
                <c:pt idx="142">
                  <c:v>5.7335050896549715E-2</c:v>
                </c:pt>
                <c:pt idx="143">
                  <c:v>5.7754063877220832E-2</c:v>
                </c:pt>
                <c:pt idx="144">
                  <c:v>5.817323649108324E-2</c:v>
                </c:pt>
                <c:pt idx="145">
                  <c:v>5.8592568182882686E-2</c:v>
                </c:pt>
                <c:pt idx="146">
                  <c:v>5.9012058403118954E-2</c:v>
                </c:pt>
                <c:pt idx="147">
                  <c:v>5.9431706607947159E-2</c:v>
                </c:pt>
                <c:pt idx="148">
                  <c:v>5.985151225908153E-2</c:v>
                </c:pt>
                <c:pt idx="149">
                  <c:v>6.0271474823701154E-2</c:v>
                </c:pt>
                <c:pt idx="150">
                  <c:v>6.0691593774358329E-2</c:v>
                </c:pt>
              </c:numCache>
            </c:numRef>
          </c:yVal>
          <c:smooth val="1"/>
          <c:extLst>
            <c:ext xmlns:c16="http://schemas.microsoft.com/office/drawing/2014/chart" uri="{C3380CC4-5D6E-409C-BE32-E72D297353CC}">
              <c16:uniqueId val="{00000001-D428-476F-9D9B-414A5D21B4D3}"/>
            </c:ext>
          </c:extLst>
        </c:ser>
        <c:ser>
          <c:idx val="2"/>
          <c:order val="2"/>
          <c:tx>
            <c:v>Diode</c:v>
          </c:tx>
          <c:spPr>
            <a:ln>
              <a:solidFill>
                <a:schemeClr val="bg2">
                  <a:lumMod val="50000"/>
                </a:schemeClr>
              </a:solidFill>
              <a:prstDash val="sysDash"/>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Eff_vs_IOUT!$AN$7:$AN$157</c:f>
              <c:numCache>
                <c:formatCode>General</c:formatCode>
                <c:ptCount val="151"/>
                <c:pt idx="0">
                  <c:v>0.85400000000000009</c:v>
                </c:pt>
                <c:pt idx="1">
                  <c:v>0.85405333333333344</c:v>
                </c:pt>
                <c:pt idx="2">
                  <c:v>0.85410666666666679</c:v>
                </c:pt>
                <c:pt idx="3">
                  <c:v>0.85416000000000014</c:v>
                </c:pt>
                <c:pt idx="4">
                  <c:v>0.85421333333333338</c:v>
                </c:pt>
                <c:pt idx="5">
                  <c:v>0.85426666666666673</c:v>
                </c:pt>
                <c:pt idx="6">
                  <c:v>0.85432000000000008</c:v>
                </c:pt>
                <c:pt idx="7">
                  <c:v>0.85437333333333343</c:v>
                </c:pt>
                <c:pt idx="8">
                  <c:v>0.85442666666666678</c:v>
                </c:pt>
                <c:pt idx="9">
                  <c:v>0.85448000000000013</c:v>
                </c:pt>
                <c:pt idx="10">
                  <c:v>0.85453333333333348</c:v>
                </c:pt>
                <c:pt idx="11">
                  <c:v>0.85458666666666672</c:v>
                </c:pt>
                <c:pt idx="12">
                  <c:v>0.85464000000000007</c:v>
                </c:pt>
                <c:pt idx="13">
                  <c:v>0.85469333333333342</c:v>
                </c:pt>
                <c:pt idx="14">
                  <c:v>0.85474666666666677</c:v>
                </c:pt>
                <c:pt idx="15">
                  <c:v>0.85480000000000012</c:v>
                </c:pt>
                <c:pt idx="16">
                  <c:v>0.85485333333333346</c:v>
                </c:pt>
                <c:pt idx="17">
                  <c:v>0.8549066666666667</c:v>
                </c:pt>
                <c:pt idx="18">
                  <c:v>0.85496000000000005</c:v>
                </c:pt>
                <c:pt idx="19">
                  <c:v>0.8550133333333334</c:v>
                </c:pt>
                <c:pt idx="20">
                  <c:v>0.85506666666666675</c:v>
                </c:pt>
                <c:pt idx="21">
                  <c:v>0.8551200000000001</c:v>
                </c:pt>
                <c:pt idx="22">
                  <c:v>0.85517333333333345</c:v>
                </c:pt>
                <c:pt idx="23">
                  <c:v>0.8552266666666668</c:v>
                </c:pt>
                <c:pt idx="24">
                  <c:v>0.85528000000000004</c:v>
                </c:pt>
                <c:pt idx="25">
                  <c:v>0.85533333333333339</c:v>
                </c:pt>
                <c:pt idx="26">
                  <c:v>0.85538666666666674</c:v>
                </c:pt>
                <c:pt idx="27">
                  <c:v>0.85544000000000009</c:v>
                </c:pt>
                <c:pt idx="28">
                  <c:v>0.85549333333333344</c:v>
                </c:pt>
                <c:pt idx="29">
                  <c:v>0.85554666666666679</c:v>
                </c:pt>
                <c:pt idx="30">
                  <c:v>0.85560000000000014</c:v>
                </c:pt>
                <c:pt idx="31">
                  <c:v>0.85565333333333338</c:v>
                </c:pt>
                <c:pt idx="32">
                  <c:v>0.85570666666666673</c:v>
                </c:pt>
                <c:pt idx="33">
                  <c:v>0.85576000000000008</c:v>
                </c:pt>
                <c:pt idx="34">
                  <c:v>0.85581333333333343</c:v>
                </c:pt>
                <c:pt idx="35">
                  <c:v>0.85586666666666678</c:v>
                </c:pt>
                <c:pt idx="36">
                  <c:v>0.85592000000000013</c:v>
                </c:pt>
                <c:pt idx="37">
                  <c:v>0.85597333333333347</c:v>
                </c:pt>
                <c:pt idx="38">
                  <c:v>0.85602666666666671</c:v>
                </c:pt>
                <c:pt idx="39">
                  <c:v>0.85608000000000006</c:v>
                </c:pt>
                <c:pt idx="40">
                  <c:v>0.85613333333333341</c:v>
                </c:pt>
                <c:pt idx="41">
                  <c:v>0.85618666666666676</c:v>
                </c:pt>
                <c:pt idx="42">
                  <c:v>0.85624000000000011</c:v>
                </c:pt>
                <c:pt idx="43">
                  <c:v>0.85629333333333346</c:v>
                </c:pt>
                <c:pt idx="44">
                  <c:v>0.85634666666666681</c:v>
                </c:pt>
                <c:pt idx="45">
                  <c:v>0.85640000000000005</c:v>
                </c:pt>
                <c:pt idx="46">
                  <c:v>0.8564533333333334</c:v>
                </c:pt>
                <c:pt idx="47">
                  <c:v>0.85650666666666675</c:v>
                </c:pt>
                <c:pt idx="48">
                  <c:v>0.8565600000000001</c:v>
                </c:pt>
                <c:pt idx="49">
                  <c:v>0.85661333333333345</c:v>
                </c:pt>
                <c:pt idx="50">
                  <c:v>0.8566666666666668</c:v>
                </c:pt>
                <c:pt idx="51">
                  <c:v>0.85672000000000015</c:v>
                </c:pt>
                <c:pt idx="52">
                  <c:v>0.85677333333333339</c:v>
                </c:pt>
                <c:pt idx="53">
                  <c:v>0.85682666666666674</c:v>
                </c:pt>
                <c:pt idx="54">
                  <c:v>0.85688000000000009</c:v>
                </c:pt>
                <c:pt idx="55">
                  <c:v>0.85693333333333344</c:v>
                </c:pt>
                <c:pt idx="56">
                  <c:v>0.85698666666666679</c:v>
                </c:pt>
                <c:pt idx="57">
                  <c:v>0.85704000000000014</c:v>
                </c:pt>
                <c:pt idx="58">
                  <c:v>0.85709333333333337</c:v>
                </c:pt>
                <c:pt idx="59">
                  <c:v>0.85714666666666672</c:v>
                </c:pt>
                <c:pt idx="60">
                  <c:v>0.85720000000000007</c:v>
                </c:pt>
                <c:pt idx="61">
                  <c:v>0.85725333333333342</c:v>
                </c:pt>
                <c:pt idx="62">
                  <c:v>0.85730666666666677</c:v>
                </c:pt>
                <c:pt idx="63">
                  <c:v>0.85736000000000012</c:v>
                </c:pt>
                <c:pt idx="64">
                  <c:v>0.85741333333333347</c:v>
                </c:pt>
                <c:pt idx="65">
                  <c:v>0.85746666666666671</c:v>
                </c:pt>
                <c:pt idx="66">
                  <c:v>0.85752000000000006</c:v>
                </c:pt>
                <c:pt idx="67">
                  <c:v>0.85757333333333341</c:v>
                </c:pt>
                <c:pt idx="68">
                  <c:v>0.85762666666666676</c:v>
                </c:pt>
                <c:pt idx="69">
                  <c:v>0.85768000000000011</c:v>
                </c:pt>
                <c:pt idx="70">
                  <c:v>0.85773333333333346</c:v>
                </c:pt>
                <c:pt idx="71">
                  <c:v>0.85778666666666681</c:v>
                </c:pt>
                <c:pt idx="72">
                  <c:v>0.85784000000000005</c:v>
                </c:pt>
                <c:pt idx="73">
                  <c:v>0.8578933333333334</c:v>
                </c:pt>
                <c:pt idx="74">
                  <c:v>0.85794666666666675</c:v>
                </c:pt>
                <c:pt idx="75">
                  <c:v>0.8580000000000001</c:v>
                </c:pt>
                <c:pt idx="76">
                  <c:v>0.85805333333333345</c:v>
                </c:pt>
                <c:pt idx="77">
                  <c:v>0.8581066666666668</c:v>
                </c:pt>
                <c:pt idx="78">
                  <c:v>0.85816000000000014</c:v>
                </c:pt>
                <c:pt idx="79">
                  <c:v>0.85821333333333338</c:v>
                </c:pt>
                <c:pt idx="80">
                  <c:v>0.85826666666666673</c:v>
                </c:pt>
                <c:pt idx="81">
                  <c:v>0.85832000000000008</c:v>
                </c:pt>
                <c:pt idx="82">
                  <c:v>0.85837333333333343</c:v>
                </c:pt>
                <c:pt idx="83">
                  <c:v>0.85842666666666678</c:v>
                </c:pt>
                <c:pt idx="84">
                  <c:v>0.85848000000000013</c:v>
                </c:pt>
                <c:pt idx="85">
                  <c:v>0.85853333333333337</c:v>
                </c:pt>
                <c:pt idx="86">
                  <c:v>0.85858666666666672</c:v>
                </c:pt>
                <c:pt idx="87">
                  <c:v>0.85864000000000007</c:v>
                </c:pt>
                <c:pt idx="88">
                  <c:v>0.85869333333333342</c:v>
                </c:pt>
                <c:pt idx="89">
                  <c:v>0.85874666666666677</c:v>
                </c:pt>
                <c:pt idx="90">
                  <c:v>0.85880000000000012</c:v>
                </c:pt>
                <c:pt idx="91">
                  <c:v>0.85885333333333347</c:v>
                </c:pt>
                <c:pt idx="92">
                  <c:v>0.85890666666666671</c:v>
                </c:pt>
                <c:pt idx="93">
                  <c:v>0.85896000000000006</c:v>
                </c:pt>
                <c:pt idx="94">
                  <c:v>0.85901333333333341</c:v>
                </c:pt>
                <c:pt idx="95">
                  <c:v>0.85906666666666676</c:v>
                </c:pt>
                <c:pt idx="96">
                  <c:v>0.85912000000000011</c:v>
                </c:pt>
                <c:pt idx="97">
                  <c:v>0.85917333333333346</c:v>
                </c:pt>
                <c:pt idx="98">
                  <c:v>0.85922666666666681</c:v>
                </c:pt>
                <c:pt idx="99">
                  <c:v>0.85928000000000004</c:v>
                </c:pt>
                <c:pt idx="100">
                  <c:v>0.85933333333333339</c:v>
                </c:pt>
                <c:pt idx="101">
                  <c:v>0.85938666666666674</c:v>
                </c:pt>
                <c:pt idx="102">
                  <c:v>0.85944000000000009</c:v>
                </c:pt>
                <c:pt idx="103">
                  <c:v>0.85949333333333344</c:v>
                </c:pt>
                <c:pt idx="104">
                  <c:v>0.85954666666666679</c:v>
                </c:pt>
                <c:pt idx="105">
                  <c:v>0.85960000000000014</c:v>
                </c:pt>
                <c:pt idx="106">
                  <c:v>0.85965333333333338</c:v>
                </c:pt>
                <c:pt idx="107">
                  <c:v>0.85970666666666673</c:v>
                </c:pt>
                <c:pt idx="108">
                  <c:v>0.85976000000000008</c:v>
                </c:pt>
                <c:pt idx="109">
                  <c:v>0.85981333333333343</c:v>
                </c:pt>
                <c:pt idx="110">
                  <c:v>0.85986666666666678</c:v>
                </c:pt>
                <c:pt idx="111">
                  <c:v>0.85992000000000013</c:v>
                </c:pt>
                <c:pt idx="112">
                  <c:v>0.85997333333333348</c:v>
                </c:pt>
                <c:pt idx="113">
                  <c:v>0.86002666666666672</c:v>
                </c:pt>
                <c:pt idx="114">
                  <c:v>0.86008000000000007</c:v>
                </c:pt>
                <c:pt idx="115">
                  <c:v>0.86013333333333342</c:v>
                </c:pt>
                <c:pt idx="116">
                  <c:v>0.86018666666666677</c:v>
                </c:pt>
                <c:pt idx="117">
                  <c:v>0.86024000000000012</c:v>
                </c:pt>
                <c:pt idx="118">
                  <c:v>0.86029333333333347</c:v>
                </c:pt>
                <c:pt idx="119">
                  <c:v>0.86034666666666682</c:v>
                </c:pt>
                <c:pt idx="120">
                  <c:v>0.86040000000000005</c:v>
                </c:pt>
                <c:pt idx="121">
                  <c:v>0.8604533333333334</c:v>
                </c:pt>
                <c:pt idx="122">
                  <c:v>0.86050666666666675</c:v>
                </c:pt>
                <c:pt idx="123">
                  <c:v>0.8605600000000001</c:v>
                </c:pt>
                <c:pt idx="124">
                  <c:v>0.86061333333333345</c:v>
                </c:pt>
                <c:pt idx="125">
                  <c:v>0.8606666666666668</c:v>
                </c:pt>
                <c:pt idx="126">
                  <c:v>0.86072000000000004</c:v>
                </c:pt>
                <c:pt idx="127">
                  <c:v>0.86077333333333339</c:v>
                </c:pt>
                <c:pt idx="128">
                  <c:v>0.86082666666666674</c:v>
                </c:pt>
                <c:pt idx="129">
                  <c:v>0.86088000000000009</c:v>
                </c:pt>
                <c:pt idx="130">
                  <c:v>0.86093333333333344</c:v>
                </c:pt>
                <c:pt idx="131">
                  <c:v>0.86098666666666679</c:v>
                </c:pt>
                <c:pt idx="132">
                  <c:v>0.86104000000000014</c:v>
                </c:pt>
                <c:pt idx="133">
                  <c:v>0.86109333333333338</c:v>
                </c:pt>
                <c:pt idx="134">
                  <c:v>0.86114666666666673</c:v>
                </c:pt>
                <c:pt idx="135">
                  <c:v>0.86120000000000008</c:v>
                </c:pt>
                <c:pt idx="136">
                  <c:v>0.86125333333333343</c:v>
                </c:pt>
                <c:pt idx="137">
                  <c:v>0.86130666666666678</c:v>
                </c:pt>
                <c:pt idx="138">
                  <c:v>0.86136000000000013</c:v>
                </c:pt>
                <c:pt idx="139">
                  <c:v>0.86141333333333348</c:v>
                </c:pt>
                <c:pt idx="140">
                  <c:v>0.86146666666666671</c:v>
                </c:pt>
                <c:pt idx="141">
                  <c:v>0.86152000000000006</c:v>
                </c:pt>
                <c:pt idx="142">
                  <c:v>0.86157333333333341</c:v>
                </c:pt>
                <c:pt idx="143">
                  <c:v>0.86162666666666676</c:v>
                </c:pt>
                <c:pt idx="144">
                  <c:v>0.86168000000000011</c:v>
                </c:pt>
                <c:pt idx="145">
                  <c:v>0.86173333333333346</c:v>
                </c:pt>
                <c:pt idx="146">
                  <c:v>0.86178666666666681</c:v>
                </c:pt>
                <c:pt idx="147">
                  <c:v>0.86184000000000005</c:v>
                </c:pt>
                <c:pt idx="148">
                  <c:v>0.8618933333333334</c:v>
                </c:pt>
                <c:pt idx="149">
                  <c:v>0.86194666666666675</c:v>
                </c:pt>
                <c:pt idx="150">
                  <c:v>0.8620000000000001</c:v>
                </c:pt>
              </c:numCache>
            </c:numRef>
          </c:yVal>
          <c:smooth val="1"/>
          <c:extLst>
            <c:ext xmlns:c16="http://schemas.microsoft.com/office/drawing/2014/chart" uri="{C3380CC4-5D6E-409C-BE32-E72D297353CC}">
              <c16:uniqueId val="{00000002-D428-476F-9D9B-414A5D21B4D3}"/>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6.666666666666667E-5</c:v>
                </c:pt>
                <c:pt idx="2">
                  <c:v>1.3333333333333334E-4</c:v>
                </c:pt>
                <c:pt idx="3">
                  <c:v>2.0000000000000001E-4</c:v>
                </c:pt>
                <c:pt idx="4">
                  <c:v>2.6666666666666668E-4</c:v>
                </c:pt>
                <c:pt idx="5">
                  <c:v>3.3333333333333338E-4</c:v>
                </c:pt>
                <c:pt idx="6">
                  <c:v>4.0000000000000002E-4</c:v>
                </c:pt>
                <c:pt idx="7">
                  <c:v>4.6666666666666666E-4</c:v>
                </c:pt>
                <c:pt idx="8">
                  <c:v>5.3333333333333336E-4</c:v>
                </c:pt>
                <c:pt idx="9">
                  <c:v>6.0000000000000006E-4</c:v>
                </c:pt>
                <c:pt idx="10">
                  <c:v>6.6666666666666675E-4</c:v>
                </c:pt>
                <c:pt idx="11">
                  <c:v>7.3333333333333334E-4</c:v>
                </c:pt>
                <c:pt idx="12">
                  <c:v>8.0000000000000004E-4</c:v>
                </c:pt>
                <c:pt idx="13">
                  <c:v>8.6666666666666674E-4</c:v>
                </c:pt>
                <c:pt idx="14">
                  <c:v>9.3333333333333332E-4</c:v>
                </c:pt>
                <c:pt idx="15">
                  <c:v>1E-3</c:v>
                </c:pt>
                <c:pt idx="16">
                  <c:v>1.0666666666666667E-3</c:v>
                </c:pt>
                <c:pt idx="17">
                  <c:v>1.1333333333333334E-3</c:v>
                </c:pt>
                <c:pt idx="18">
                  <c:v>1.2000000000000001E-3</c:v>
                </c:pt>
                <c:pt idx="19">
                  <c:v>1.2666666666666668E-3</c:v>
                </c:pt>
                <c:pt idx="20">
                  <c:v>1.3333333333333335E-3</c:v>
                </c:pt>
                <c:pt idx="21">
                  <c:v>1.4E-3</c:v>
                </c:pt>
                <c:pt idx="22">
                  <c:v>1.4666666666666667E-3</c:v>
                </c:pt>
                <c:pt idx="23">
                  <c:v>1.5333333333333334E-3</c:v>
                </c:pt>
                <c:pt idx="24">
                  <c:v>1.6000000000000001E-3</c:v>
                </c:pt>
                <c:pt idx="25">
                  <c:v>1.6666666666666668E-3</c:v>
                </c:pt>
                <c:pt idx="26">
                  <c:v>1.7333333333333335E-3</c:v>
                </c:pt>
                <c:pt idx="27">
                  <c:v>1.8000000000000002E-3</c:v>
                </c:pt>
                <c:pt idx="28">
                  <c:v>1.8666666666666666E-3</c:v>
                </c:pt>
                <c:pt idx="29">
                  <c:v>1.9333333333333333E-3</c:v>
                </c:pt>
                <c:pt idx="30">
                  <c:v>2E-3</c:v>
                </c:pt>
                <c:pt idx="31">
                  <c:v>2.0666666666666667E-3</c:v>
                </c:pt>
                <c:pt idx="32">
                  <c:v>2.1333333333333334E-3</c:v>
                </c:pt>
                <c:pt idx="33">
                  <c:v>2.2000000000000001E-3</c:v>
                </c:pt>
                <c:pt idx="34">
                  <c:v>2.2666666666666668E-3</c:v>
                </c:pt>
                <c:pt idx="35">
                  <c:v>2.3333333333333335E-3</c:v>
                </c:pt>
                <c:pt idx="36">
                  <c:v>2.4000000000000002E-3</c:v>
                </c:pt>
                <c:pt idx="37">
                  <c:v>2.4666666666666669E-3</c:v>
                </c:pt>
                <c:pt idx="38">
                  <c:v>2.5333333333333336E-3</c:v>
                </c:pt>
                <c:pt idx="39">
                  <c:v>2.6000000000000003E-3</c:v>
                </c:pt>
                <c:pt idx="40">
                  <c:v>2.666666666666667E-3</c:v>
                </c:pt>
                <c:pt idx="41">
                  <c:v>2.7333333333333333E-3</c:v>
                </c:pt>
                <c:pt idx="42">
                  <c:v>2.8E-3</c:v>
                </c:pt>
                <c:pt idx="43">
                  <c:v>2.8666666666666667E-3</c:v>
                </c:pt>
                <c:pt idx="44">
                  <c:v>2.9333333333333334E-3</c:v>
                </c:pt>
                <c:pt idx="45">
                  <c:v>3.0000000000000001E-3</c:v>
                </c:pt>
                <c:pt idx="46">
                  <c:v>3.0666666666666668E-3</c:v>
                </c:pt>
                <c:pt idx="47">
                  <c:v>3.1333333333333335E-3</c:v>
                </c:pt>
                <c:pt idx="48">
                  <c:v>3.2000000000000002E-3</c:v>
                </c:pt>
                <c:pt idx="49">
                  <c:v>3.2666666666666669E-3</c:v>
                </c:pt>
                <c:pt idx="50">
                  <c:v>3.3333333333333335E-3</c:v>
                </c:pt>
                <c:pt idx="51">
                  <c:v>3.4000000000000002E-3</c:v>
                </c:pt>
                <c:pt idx="52">
                  <c:v>3.4666666666666669E-3</c:v>
                </c:pt>
                <c:pt idx="53">
                  <c:v>3.5333333333333336E-3</c:v>
                </c:pt>
                <c:pt idx="54">
                  <c:v>3.6000000000000003E-3</c:v>
                </c:pt>
                <c:pt idx="55">
                  <c:v>3.666666666666667E-3</c:v>
                </c:pt>
                <c:pt idx="56">
                  <c:v>3.7333333333333333E-3</c:v>
                </c:pt>
                <c:pt idx="57">
                  <c:v>3.8E-3</c:v>
                </c:pt>
                <c:pt idx="58">
                  <c:v>3.8666666666666667E-3</c:v>
                </c:pt>
                <c:pt idx="59">
                  <c:v>3.9333333333333338E-3</c:v>
                </c:pt>
                <c:pt idx="60">
                  <c:v>4.0000000000000001E-3</c:v>
                </c:pt>
                <c:pt idx="61">
                  <c:v>4.0666666666666672E-3</c:v>
                </c:pt>
                <c:pt idx="62">
                  <c:v>4.1333333333333335E-3</c:v>
                </c:pt>
                <c:pt idx="63">
                  <c:v>4.2000000000000006E-3</c:v>
                </c:pt>
                <c:pt idx="64">
                  <c:v>4.2666666666666669E-3</c:v>
                </c:pt>
                <c:pt idx="65">
                  <c:v>4.3333333333333331E-3</c:v>
                </c:pt>
                <c:pt idx="66">
                  <c:v>4.4000000000000003E-3</c:v>
                </c:pt>
                <c:pt idx="67">
                  <c:v>4.4666666666666665E-3</c:v>
                </c:pt>
                <c:pt idx="68">
                  <c:v>4.5333333333333337E-3</c:v>
                </c:pt>
                <c:pt idx="69">
                  <c:v>4.5999999999999999E-3</c:v>
                </c:pt>
                <c:pt idx="70">
                  <c:v>4.6666666666666671E-3</c:v>
                </c:pt>
                <c:pt idx="71">
                  <c:v>4.7333333333333333E-3</c:v>
                </c:pt>
                <c:pt idx="72">
                  <c:v>4.8000000000000004E-3</c:v>
                </c:pt>
                <c:pt idx="73">
                  <c:v>4.8666666666666667E-3</c:v>
                </c:pt>
                <c:pt idx="74">
                  <c:v>4.9333333333333338E-3</c:v>
                </c:pt>
                <c:pt idx="75">
                  <c:v>5.0000000000000001E-3</c:v>
                </c:pt>
                <c:pt idx="76">
                  <c:v>5.0666666666666672E-3</c:v>
                </c:pt>
                <c:pt idx="77">
                  <c:v>5.1333333333333335E-3</c:v>
                </c:pt>
                <c:pt idx="78">
                  <c:v>5.2000000000000006E-3</c:v>
                </c:pt>
                <c:pt idx="79">
                  <c:v>5.2666666666666669E-3</c:v>
                </c:pt>
                <c:pt idx="80">
                  <c:v>5.333333333333334E-3</c:v>
                </c:pt>
                <c:pt idx="81">
                  <c:v>5.4000000000000003E-3</c:v>
                </c:pt>
                <c:pt idx="82">
                  <c:v>5.4666666666666665E-3</c:v>
                </c:pt>
                <c:pt idx="83">
                  <c:v>5.5333333333333337E-3</c:v>
                </c:pt>
                <c:pt idx="84">
                  <c:v>5.5999999999999999E-3</c:v>
                </c:pt>
                <c:pt idx="85">
                  <c:v>5.6666666666666671E-3</c:v>
                </c:pt>
                <c:pt idx="86">
                  <c:v>5.7333333333333333E-3</c:v>
                </c:pt>
                <c:pt idx="87">
                  <c:v>5.8000000000000005E-3</c:v>
                </c:pt>
                <c:pt idx="88">
                  <c:v>5.8666666666666667E-3</c:v>
                </c:pt>
                <c:pt idx="89">
                  <c:v>5.9333333333333339E-3</c:v>
                </c:pt>
                <c:pt idx="90">
                  <c:v>6.0000000000000001E-3</c:v>
                </c:pt>
                <c:pt idx="91">
                  <c:v>6.0666666666666673E-3</c:v>
                </c:pt>
                <c:pt idx="92">
                  <c:v>6.1333333333333335E-3</c:v>
                </c:pt>
                <c:pt idx="93">
                  <c:v>6.2000000000000006E-3</c:v>
                </c:pt>
                <c:pt idx="94">
                  <c:v>6.2666666666666669E-3</c:v>
                </c:pt>
                <c:pt idx="95">
                  <c:v>6.333333333333334E-3</c:v>
                </c:pt>
                <c:pt idx="96">
                  <c:v>6.4000000000000003E-3</c:v>
                </c:pt>
                <c:pt idx="97">
                  <c:v>6.4666666666666666E-3</c:v>
                </c:pt>
                <c:pt idx="98">
                  <c:v>6.5333333333333337E-3</c:v>
                </c:pt>
                <c:pt idx="99">
                  <c:v>6.6E-3</c:v>
                </c:pt>
                <c:pt idx="100">
                  <c:v>6.6666666666666671E-3</c:v>
                </c:pt>
                <c:pt idx="101">
                  <c:v>6.7333333333333334E-3</c:v>
                </c:pt>
                <c:pt idx="102">
                  <c:v>6.8000000000000005E-3</c:v>
                </c:pt>
                <c:pt idx="103">
                  <c:v>6.8666666666666668E-3</c:v>
                </c:pt>
                <c:pt idx="104">
                  <c:v>6.9333333333333339E-3</c:v>
                </c:pt>
                <c:pt idx="105">
                  <c:v>7.0000000000000001E-3</c:v>
                </c:pt>
                <c:pt idx="106">
                  <c:v>7.0666666666666673E-3</c:v>
                </c:pt>
                <c:pt idx="107">
                  <c:v>7.1333333333333335E-3</c:v>
                </c:pt>
                <c:pt idx="108">
                  <c:v>7.2000000000000007E-3</c:v>
                </c:pt>
                <c:pt idx="109">
                  <c:v>7.2666666666666669E-3</c:v>
                </c:pt>
                <c:pt idx="110">
                  <c:v>7.3333333333333341E-3</c:v>
                </c:pt>
                <c:pt idx="111">
                  <c:v>7.4000000000000003E-3</c:v>
                </c:pt>
                <c:pt idx="112">
                  <c:v>7.4666666666666666E-3</c:v>
                </c:pt>
                <c:pt idx="113">
                  <c:v>7.5333333333333337E-3</c:v>
                </c:pt>
                <c:pt idx="114">
                  <c:v>7.6E-3</c:v>
                </c:pt>
                <c:pt idx="115">
                  <c:v>7.6666666666666671E-3</c:v>
                </c:pt>
                <c:pt idx="116">
                  <c:v>7.7333333333333334E-3</c:v>
                </c:pt>
                <c:pt idx="117">
                  <c:v>7.8000000000000005E-3</c:v>
                </c:pt>
                <c:pt idx="118">
                  <c:v>7.8666666666666676E-3</c:v>
                </c:pt>
                <c:pt idx="119">
                  <c:v>7.9333333333333339E-3</c:v>
                </c:pt>
                <c:pt idx="120">
                  <c:v>8.0000000000000002E-3</c:v>
                </c:pt>
                <c:pt idx="121">
                  <c:v>8.0666666666666664E-3</c:v>
                </c:pt>
                <c:pt idx="122">
                  <c:v>8.1333333333333344E-3</c:v>
                </c:pt>
                <c:pt idx="123">
                  <c:v>8.2000000000000007E-3</c:v>
                </c:pt>
                <c:pt idx="124">
                  <c:v>8.266666666666667E-3</c:v>
                </c:pt>
                <c:pt idx="125">
                  <c:v>8.3333333333333332E-3</c:v>
                </c:pt>
                <c:pt idx="126">
                  <c:v>8.4000000000000012E-3</c:v>
                </c:pt>
                <c:pt idx="127">
                  <c:v>8.4666666666666675E-3</c:v>
                </c:pt>
                <c:pt idx="128">
                  <c:v>8.5333333333333337E-3</c:v>
                </c:pt>
                <c:pt idx="129">
                  <c:v>8.6E-3</c:v>
                </c:pt>
                <c:pt idx="130">
                  <c:v>8.6666666666666663E-3</c:v>
                </c:pt>
                <c:pt idx="131">
                  <c:v>8.7333333333333343E-3</c:v>
                </c:pt>
                <c:pt idx="132">
                  <c:v>8.8000000000000005E-3</c:v>
                </c:pt>
                <c:pt idx="133">
                  <c:v>8.8666666666666668E-3</c:v>
                </c:pt>
                <c:pt idx="134">
                  <c:v>8.9333333333333331E-3</c:v>
                </c:pt>
                <c:pt idx="135">
                  <c:v>9.0000000000000011E-3</c:v>
                </c:pt>
                <c:pt idx="136">
                  <c:v>9.0666666666666673E-3</c:v>
                </c:pt>
                <c:pt idx="137">
                  <c:v>9.1333333333333336E-3</c:v>
                </c:pt>
                <c:pt idx="138">
                  <c:v>9.1999999999999998E-3</c:v>
                </c:pt>
                <c:pt idx="139">
                  <c:v>9.2666666666666678E-3</c:v>
                </c:pt>
                <c:pt idx="140">
                  <c:v>9.3333333333333341E-3</c:v>
                </c:pt>
                <c:pt idx="141">
                  <c:v>9.4000000000000004E-3</c:v>
                </c:pt>
                <c:pt idx="142">
                  <c:v>9.4666666666666666E-3</c:v>
                </c:pt>
                <c:pt idx="143">
                  <c:v>9.5333333333333346E-3</c:v>
                </c:pt>
                <c:pt idx="144">
                  <c:v>9.6000000000000009E-3</c:v>
                </c:pt>
                <c:pt idx="145">
                  <c:v>9.6666666666666672E-3</c:v>
                </c:pt>
                <c:pt idx="146">
                  <c:v>9.7333333333333334E-3</c:v>
                </c:pt>
                <c:pt idx="147">
                  <c:v>9.7999999999999997E-3</c:v>
                </c:pt>
                <c:pt idx="148">
                  <c:v>9.8666666666666677E-3</c:v>
                </c:pt>
                <c:pt idx="149">
                  <c:v>9.9333333333333339E-3</c:v>
                </c:pt>
                <c:pt idx="150">
                  <c:v>0.01</c:v>
                </c:pt>
              </c:numCache>
            </c:numRef>
          </c:xVal>
          <c:yVal>
            <c:numRef>
              <c:f>Eff_vs_IOUT!$AO$7:$AO$157</c:f>
              <c:numCache>
                <c:formatCode>General</c:formatCode>
                <c:ptCount val="151"/>
                <c:pt idx="0">
                  <c:v>0</c:v>
                </c:pt>
                <c:pt idx="1">
                  <c:v>1.0224465647542561E-5</c:v>
                </c:pt>
                <c:pt idx="2">
                  <c:v>2.8919155973544998E-5</c:v>
                </c:pt>
                <c:pt idx="3">
                  <c:v>5.3127881945359003E-5</c:v>
                </c:pt>
                <c:pt idx="4">
                  <c:v>8.1795725180340472E-5</c:v>
                </c:pt>
                <c:pt idx="5">
                  <c:v>1.143130011075828E-4</c:v>
                </c:pt>
                <c:pt idx="6">
                  <c:v>1.502683423745668E-4</c:v>
                </c:pt>
                <c:pt idx="7">
                  <c:v>1.8935975374344402E-4</c:v>
                </c:pt>
                <c:pt idx="8">
                  <c:v>2.3135324778836001E-4</c:v>
                </c:pt>
                <c:pt idx="9">
                  <c:v>2.7606057248364893E-4</c:v>
                </c:pt>
                <c:pt idx="10">
                  <c:v>3.233259930438286E-4</c:v>
                </c:pt>
                <c:pt idx="11">
                  <c:v>3.7301787858254483E-4</c:v>
                </c:pt>
                <c:pt idx="12">
                  <c:v>4.2502305556287208E-4</c:v>
                </c:pt>
                <c:pt idx="13">
                  <c:v>4.7924285703365255E-4</c:v>
                </c:pt>
                <c:pt idx="14">
                  <c:v>5.3559026382321638E-4</c:v>
                </c:pt>
                <c:pt idx="15">
                  <c:v>5.9398777765203221E-4</c:v>
                </c:pt>
                <c:pt idx="16">
                  <c:v>6.5436580144272389E-4</c:v>
                </c:pt>
                <c:pt idx="17">
                  <c:v>7.1666138111539299E-4</c:v>
                </c:pt>
                <c:pt idx="18">
                  <c:v>7.80817211285715E-4</c:v>
                </c:pt>
                <c:pt idx="19">
                  <c:v>8.4678083767748239E-4</c:v>
                </c:pt>
                <c:pt idx="20">
                  <c:v>9.1450400886066243E-4</c:v>
                </c:pt>
                <c:pt idx="21">
                  <c:v>9.8394214317712838E-4</c:v>
                </c:pt>
                <c:pt idx="22">
                  <c:v>1.0550538857981516E-3</c:v>
                </c:pt>
                <c:pt idx="23">
                  <c:v>1.1278007372147896E-3</c:v>
                </c:pt>
                <c:pt idx="24">
                  <c:v>1.2021467389965344E-3</c:v>
                </c:pt>
                <c:pt idx="25">
                  <c:v>1.2780582059428191E-3</c:v>
                </c:pt>
                <c:pt idx="26">
                  <c:v>1.3555034961748431E-3</c:v>
                </c:pt>
                <c:pt idx="27">
                  <c:v>1.4344528125246926E-3</c:v>
                </c:pt>
                <c:pt idx="28">
                  <c:v>1.5148780299475521E-3</c:v>
                </c:pt>
                <c:pt idx="29">
                  <c:v>1.5967525447301545E-3</c:v>
                </c:pt>
                <c:pt idx="30">
                  <c:v>1.6800511420787163E-3</c:v>
                </c:pt>
                <c:pt idx="31">
                  <c:v>1.7647498793023843E-3</c:v>
                </c:pt>
                <c:pt idx="32">
                  <c:v>1.8508259823068799E-3</c:v>
                </c:pt>
                <c:pt idx="33">
                  <c:v>1.938257753509579E-3</c:v>
                </c:pt>
                <c:pt idx="34">
                  <c:v>2.0270244896048446E-3</c:v>
                </c:pt>
                <c:pt idx="35">
                  <c:v>2.1171064078648058E-3</c:v>
                </c:pt>
                <c:pt idx="36">
                  <c:v>2.2084845798691919E-3</c:v>
                </c:pt>
                <c:pt idx="37">
                  <c:v>2.3011408717281481E-3</c:v>
                </c:pt>
                <c:pt idx="38">
                  <c:v>2.3950578900022914E-3</c:v>
                </c:pt>
                <c:pt idx="39">
                  <c:v>2.4902189326402617E-3</c:v>
                </c:pt>
                <c:pt idx="40">
                  <c:v>2.5866079443506275E-3</c:v>
                </c:pt>
                <c:pt idx="41">
                  <c:v>2.6842094759057505E-3</c:v>
                </c:pt>
                <c:pt idx="42">
                  <c:v>2.7830086469430885E-3</c:v>
                </c:pt>
                <c:pt idx="43">
                  <c:v>2.8829911118867118E-3</c:v>
                </c:pt>
                <c:pt idx="44">
                  <c:v>2.9841430286603604E-3</c:v>
                </c:pt>
                <c:pt idx="45">
                  <c:v>3.0864510299047345E-3</c:v>
                </c:pt>
                <c:pt idx="46">
                  <c:v>3.189902196447061E-3</c:v>
                </c:pt>
                <c:pt idx="47">
                  <c:v>3.2944840328012251E-3</c:v>
                </c:pt>
                <c:pt idx="48">
                  <c:v>3.4001844445029762E-3</c:v>
                </c:pt>
                <c:pt idx="49">
                  <c:v>3.5069917171070982E-3</c:v>
                </c:pt>
                <c:pt idx="50">
                  <c:v>3.6148944966931237E-3</c:v>
                </c:pt>
                <c:pt idx="51">
                  <c:v>3.7238817717430298E-3</c:v>
                </c:pt>
                <c:pt idx="52">
                  <c:v>3.8339428562692195E-3</c:v>
                </c:pt>
                <c:pt idx="53">
                  <c:v>3.9450673740840251E-3</c:v>
                </c:pt>
                <c:pt idx="54">
                  <c:v>4.0572452441133009E-3</c:v>
                </c:pt>
                <c:pt idx="55">
                  <c:v>4.1704666666666701E-3</c:v>
                </c:pt>
                <c:pt idx="56">
                  <c:v>4.2847221105857302E-3</c:v>
                </c:pt>
                <c:pt idx="57">
                  <c:v>4.4000023011993971E-3</c:v>
                </c:pt>
                <c:pt idx="58">
                  <c:v>4.5162982090222736E-3</c:v>
                </c:pt>
                <c:pt idx="59">
                  <c:v>4.6336010391381625E-3</c:v>
                </c:pt>
                <c:pt idx="60">
                  <c:v>4.7519022212162568E-3</c:v>
                </c:pt>
                <c:pt idx="61">
                  <c:v>4.871193400112315E-3</c:v>
                </c:pt>
                <c:pt idx="62">
                  <c:v>4.9914664270114314E-3</c:v>
                </c:pt>
                <c:pt idx="63">
                  <c:v>5.1127133510729915E-3</c:v>
                </c:pt>
                <c:pt idx="64">
                  <c:v>5.2349264115417902E-3</c:v>
                </c:pt>
                <c:pt idx="65">
                  <c:v>5.3580980302923003E-3</c:v>
                </c:pt>
                <c:pt idx="66">
                  <c:v>5.4822208047761089E-3</c:v>
                </c:pt>
                <c:pt idx="67">
                  <c:v>5.6072875013448154E-3</c:v>
                </c:pt>
                <c:pt idx="68">
                  <c:v>5.7332910489231439E-3</c:v>
                </c:pt>
                <c:pt idx="69">
                  <c:v>5.8602245330089554E-3</c:v>
                </c:pt>
                <c:pt idx="70">
                  <c:v>5.9880811899787906E-3</c:v>
                </c:pt>
                <c:pt idx="71">
                  <c:v>6.1168544016792026E-3</c:v>
                </c:pt>
                <c:pt idx="72">
                  <c:v>6.2465376902857209E-3</c:v>
                </c:pt>
                <c:pt idx="73">
                  <c:v>6.3771247134126047E-3</c:v>
                </c:pt>
                <c:pt idx="74">
                  <c:v>6.5086092594579875E-3</c:v>
                </c:pt>
                <c:pt idx="75">
                  <c:v>6.6409852431698752E-3</c:v>
                </c:pt>
                <c:pt idx="76">
                  <c:v>6.7742467014198574E-3</c:v>
                </c:pt>
                <c:pt idx="77">
                  <c:v>6.9083877891721003E-3</c:v>
                </c:pt>
                <c:pt idx="78">
                  <c:v>7.0434027756362226E-3</c:v>
                </c:pt>
                <c:pt idx="79">
                  <c:v>7.1792860405932996E-3</c:v>
                </c:pt>
                <c:pt idx="80">
                  <c:v>7.3160320708852995E-3</c:v>
                </c:pt>
                <c:pt idx="81">
                  <c:v>7.4536354570585231E-3</c:v>
                </c:pt>
                <c:pt idx="82">
                  <c:v>7.5920908901525759E-3</c:v>
                </c:pt>
                <c:pt idx="83">
                  <c:v>7.7313931586268638E-3</c:v>
                </c:pt>
                <c:pt idx="84">
                  <c:v>7.8715371454170235E-3</c:v>
                </c:pt>
                <c:pt idx="85">
                  <c:v>8.0125178251145134E-3</c:v>
                </c:pt>
                <c:pt idx="86">
                  <c:v>8.1543302612625563E-3</c:v>
                </c:pt>
                <c:pt idx="87">
                  <c:v>8.2969696037625724E-3</c:v>
                </c:pt>
                <c:pt idx="88">
                  <c:v>8.4404310863852149E-3</c:v>
                </c:pt>
                <c:pt idx="89">
                  <c:v>8.584710024380689E-3</c:v>
                </c:pt>
                <c:pt idx="90">
                  <c:v>8.7298018121833697E-3</c:v>
                </c:pt>
                <c:pt idx="91">
                  <c:v>8.8757019212058787E-3</c:v>
                </c:pt>
                <c:pt idx="92">
                  <c:v>9.0224058977183171E-3</c:v>
                </c:pt>
                <c:pt idx="93">
                  <c:v>9.1699093608083194E-3</c:v>
                </c:pt>
                <c:pt idx="94">
                  <c:v>9.3182080004182034E-3</c:v>
                </c:pt>
                <c:pt idx="95">
                  <c:v>9.4672975754553253E-3</c:v>
                </c:pt>
                <c:pt idx="96">
                  <c:v>9.6171739119722752E-3</c:v>
                </c:pt>
                <c:pt idx="97">
                  <c:v>9.7678329014135833E-3</c:v>
                </c:pt>
                <c:pt idx="98">
                  <c:v>9.9192704989259344E-3</c:v>
                </c:pt>
                <c:pt idx="99">
                  <c:v>1.0071482721728718E-2</c:v>
                </c:pt>
                <c:pt idx="100">
                  <c:v>1.0224465647542556E-2</c:v>
                </c:pt>
                <c:pt idx="101">
                  <c:v>1.0378215413072817E-2</c:v>
                </c:pt>
                <c:pt idx="102">
                  <c:v>1.0532728212545884E-2</c:v>
                </c:pt>
                <c:pt idx="103">
                  <c:v>1.0688000296295738E-2</c:v>
                </c:pt>
                <c:pt idx="104">
                  <c:v>1.0844027969398743E-2</c:v>
                </c:pt>
                <c:pt idx="105">
                  <c:v>1.1000807590354449E-2</c:v>
                </c:pt>
                <c:pt idx="106">
                  <c:v>1.1158335569810482E-2</c:v>
                </c:pt>
                <c:pt idx="107">
                  <c:v>1.1316608369329663E-2</c:v>
                </c:pt>
                <c:pt idx="108">
                  <c:v>1.1475622500197541E-2</c:v>
                </c:pt>
                <c:pt idx="109">
                  <c:v>1.163537452226863E-2</c:v>
                </c:pt>
                <c:pt idx="110">
                  <c:v>1.1795861042849834E-2</c:v>
                </c:pt>
                <c:pt idx="111">
                  <c:v>1.1957078715619464E-2</c:v>
                </c:pt>
                <c:pt idx="112">
                  <c:v>1.2119024239580417E-2</c:v>
                </c:pt>
                <c:pt idx="113">
                  <c:v>1.2281694358046142E-2</c:v>
                </c:pt>
                <c:pt idx="114">
                  <c:v>1.2445085857658036E-2</c:v>
                </c:pt>
                <c:pt idx="115">
                  <c:v>1.2609195567433227E-2</c:v>
                </c:pt>
                <c:pt idx="116">
                  <c:v>1.2774020357841235E-2</c:v>
                </c:pt>
                <c:pt idx="117">
                  <c:v>1.293955713990862E-2</c:v>
                </c:pt>
                <c:pt idx="118">
                  <c:v>1.3105802864350508E-2</c:v>
                </c:pt>
                <c:pt idx="119">
                  <c:v>1.3272754520727875E-2</c:v>
                </c:pt>
                <c:pt idx="120">
                  <c:v>1.3440409136629732E-2</c:v>
                </c:pt>
                <c:pt idx="121">
                  <c:v>1.3608763776879144E-2</c:v>
                </c:pt>
                <c:pt idx="122">
                  <c:v>1.3777815542762297E-2</c:v>
                </c:pt>
                <c:pt idx="123">
                  <c:v>1.3947561571279753E-2</c:v>
                </c:pt>
                <c:pt idx="124">
                  <c:v>1.411799903441908E-2</c:v>
                </c:pt>
                <c:pt idx="125">
                  <c:v>1.428912513844785E-2</c:v>
                </c:pt>
                <c:pt idx="126">
                  <c:v>1.446093712322684E-2</c:v>
                </c:pt>
                <c:pt idx="127">
                  <c:v>1.4633432261541996E-2</c:v>
                </c:pt>
                <c:pt idx="128">
                  <c:v>1.4806607858455041E-2</c:v>
                </c:pt>
                <c:pt idx="129">
                  <c:v>1.4980461250671819E-2</c:v>
                </c:pt>
                <c:pt idx="130">
                  <c:v>1.5154989805927874E-2</c:v>
                </c:pt>
                <c:pt idx="131">
                  <c:v>1.5330190922390439E-2</c:v>
                </c:pt>
                <c:pt idx="132">
                  <c:v>1.5506062028076632E-2</c:v>
                </c:pt>
                <c:pt idx="133">
                  <c:v>1.5682600580286997E-2</c:v>
                </c:pt>
                <c:pt idx="134">
                  <c:v>1.5859804065053964E-2</c:v>
                </c:pt>
                <c:pt idx="135">
                  <c:v>1.6037669996604869E-2</c:v>
                </c:pt>
                <c:pt idx="136">
                  <c:v>1.6216195916838757E-2</c:v>
                </c:pt>
                <c:pt idx="137">
                  <c:v>1.6395379394816771E-2</c:v>
                </c:pt>
                <c:pt idx="138">
                  <c:v>1.6575218026265603E-2</c:v>
                </c:pt>
                <c:pt idx="139">
                  <c:v>1.6755709433093485E-2</c:v>
                </c:pt>
                <c:pt idx="140">
                  <c:v>1.693685126291845E-2</c:v>
                </c:pt>
                <c:pt idx="141">
                  <c:v>1.71186411886084E-2</c:v>
                </c:pt>
                <c:pt idx="142">
                  <c:v>1.7301076907832579E-2</c:v>
                </c:pt>
                <c:pt idx="143">
                  <c:v>1.7484156142624174E-2</c:v>
                </c:pt>
                <c:pt idx="144">
                  <c:v>1.7667876638953531E-2</c:v>
                </c:pt>
                <c:pt idx="145">
                  <c:v>1.7852236166311992E-2</c:v>
                </c:pt>
                <c:pt idx="146">
                  <c:v>1.803723251730549E-2</c:v>
                </c:pt>
                <c:pt idx="147">
                  <c:v>1.8222863507258141E-2</c:v>
                </c:pt>
                <c:pt idx="148">
                  <c:v>1.8409126973825185E-2</c:v>
                </c:pt>
                <c:pt idx="149">
                  <c:v>1.8596020776615155E-2</c:v>
                </c:pt>
                <c:pt idx="150">
                  <c:v>1.8783542796820842E-2</c:v>
                </c:pt>
              </c:numCache>
            </c:numRef>
          </c:yVal>
          <c:smooth val="1"/>
          <c:extLst>
            <c:ext xmlns:c16="http://schemas.microsoft.com/office/drawing/2014/chart" uri="{C3380CC4-5D6E-409C-BE32-E72D297353CC}">
              <c16:uniqueId val="{00000003-D428-476F-9D9B-414A5D21B4D3}"/>
            </c:ext>
          </c:extLst>
        </c:ser>
        <c:dLbls>
          <c:showLegendKey val="0"/>
          <c:showVal val="0"/>
          <c:showCatName val="0"/>
          <c:showSerName val="0"/>
          <c:showPercent val="0"/>
          <c:showBubbleSize val="0"/>
        </c:dLbls>
        <c:axId val="162552448"/>
        <c:axId val="162550528"/>
      </c:scatterChart>
      <c:valAx>
        <c:axId val="161084544"/>
        <c:scaling>
          <c:orientation val="minMax"/>
        </c:scaling>
        <c:delete val="0"/>
        <c:axPos val="b"/>
        <c:majorGridlines/>
        <c:numFmt formatCode="General" sourceLinked="1"/>
        <c:majorTickMark val="out"/>
        <c:minorTickMark val="none"/>
        <c:tickLblPos val="nextTo"/>
        <c:crossAx val="161086080"/>
        <c:crosses val="autoZero"/>
        <c:crossBetween val="midCat"/>
      </c:valAx>
      <c:valAx>
        <c:axId val="161086080"/>
        <c:scaling>
          <c:orientation val="minMax"/>
          <c:max val="100"/>
          <c:min val="6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161084544"/>
        <c:crosses val="autoZero"/>
        <c:crossBetween val="midCat"/>
      </c:valAx>
      <c:valAx>
        <c:axId val="162550528"/>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162552448"/>
        <c:crosses val="max"/>
        <c:crossBetween val="midCat"/>
      </c:valAx>
      <c:valAx>
        <c:axId val="162552448"/>
        <c:scaling>
          <c:orientation val="minMax"/>
        </c:scaling>
        <c:delete val="1"/>
        <c:axPos val="b"/>
        <c:title>
          <c:tx>
            <c:rich>
              <a:bodyPr/>
              <a:lstStyle/>
              <a:p>
                <a:pPr>
                  <a:defRPr/>
                </a:pPr>
                <a:r>
                  <a:rPr lang="en-US"/>
                  <a:t>Loac</a:t>
                </a:r>
                <a:r>
                  <a:rPr lang="en-US" baseline="0"/>
                  <a:t> Current (A)</a:t>
                </a:r>
                <a:endParaRPr lang="en-US"/>
              </a:p>
            </c:rich>
          </c:tx>
          <c:overlay val="0"/>
        </c:title>
        <c:numFmt formatCode="General" sourceLinked="1"/>
        <c:majorTickMark val="out"/>
        <c:minorTickMark val="none"/>
        <c:tickLblPos val="nextTo"/>
        <c:crossAx val="162550528"/>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Drop" dropStyle="combo" dx="26" fmlaRange="$1:$1048576" noThreeD="1" sel="0" val="0"/>
</file>

<file path=xl/ctrlProps/ctrlProp2.xml><?xml version="1.0" encoding="utf-8"?>
<formControlPr xmlns="http://schemas.microsoft.com/office/spreadsheetml/2009/9/main" objectType="Spin" dx="20" fmlaLink="$H$8" max="45" noThreeD="1" page="10" val="5"/>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4.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drawing8.xml.rels><?xml version="1.0" encoding="UTF-8" standalone="yes"?>
<Relationships xmlns="http://schemas.openxmlformats.org/package/2006/relationships"><Relationship Id="rId3" Type="http://schemas.openxmlformats.org/officeDocument/2006/relationships/hyperlink" Target="http://www.ti.com/corp/docs/legal/copyright.shtml" TargetMode="External"/><Relationship Id="rId2" Type="http://schemas.openxmlformats.org/officeDocument/2006/relationships/image" Target="../media/image11.gif"/><Relationship Id="rId1" Type="http://schemas.openxmlformats.org/officeDocument/2006/relationships/hyperlink" Target="http://www.ti.co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596900</xdr:colOff>
          <xdr:row>30</xdr:row>
          <xdr:rowOff>88900</xdr:rowOff>
        </xdr:from>
        <xdr:to>
          <xdr:col>16</xdr:col>
          <xdr:colOff>215900</xdr:colOff>
          <xdr:row>31</xdr:row>
          <xdr:rowOff>114300</xdr:rowOff>
        </xdr:to>
        <xdr:sp macro="" textlink="">
          <xdr:nvSpPr>
            <xdr:cNvPr id="1170" name="Drop Down 146" descr="This is just there to fix the excel issue with comments and linked pictures"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twoCellAnchor>
    <xdr:from>
      <xdr:col>9</xdr:col>
      <xdr:colOff>22860</xdr:colOff>
      <xdr:row>50</xdr:row>
      <xdr:rowOff>1</xdr:rowOff>
    </xdr:from>
    <xdr:to>
      <xdr:col>25</xdr:col>
      <xdr:colOff>598714</xdr:colOff>
      <xdr:row>71</xdr:row>
      <xdr:rowOff>175261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22861</xdr:colOff>
      <xdr:row>74</xdr:row>
      <xdr:rowOff>7620</xdr:rowOff>
    </xdr:from>
    <xdr:to>
      <xdr:col>25</xdr:col>
      <xdr:colOff>600637</xdr:colOff>
      <xdr:row>98</xdr:row>
      <xdr:rowOff>163286</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7</xdr:col>
          <xdr:colOff>508000</xdr:colOff>
          <xdr:row>56</xdr:row>
          <xdr:rowOff>0</xdr:rowOff>
        </xdr:from>
        <xdr:to>
          <xdr:col>8</xdr:col>
          <xdr:colOff>12700</xdr:colOff>
          <xdr:row>58</xdr:row>
          <xdr:rowOff>0</xdr:rowOff>
        </xdr:to>
        <xdr:sp macro="" textlink="">
          <xdr:nvSpPr>
            <xdr:cNvPr id="1060" name="Spinner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14</xdr:col>
      <xdr:colOff>134501</xdr:colOff>
      <xdr:row>49</xdr:row>
      <xdr:rowOff>62752</xdr:rowOff>
    </xdr:from>
    <xdr:to>
      <xdr:col>15</xdr:col>
      <xdr:colOff>484124</xdr:colOff>
      <xdr:row>51</xdr:row>
      <xdr:rowOff>161363</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326001" y="10338546"/>
          <a:ext cx="943535" cy="546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15</xdr:col>
      <xdr:colOff>197245</xdr:colOff>
      <xdr:row>49</xdr:row>
      <xdr:rowOff>71718</xdr:rowOff>
    </xdr:from>
    <xdr:to>
      <xdr:col>16</xdr:col>
      <xdr:colOff>528939</xdr:colOff>
      <xdr:row>51</xdr:row>
      <xdr:rowOff>170330</xdr:rowOff>
    </xdr:to>
    <xdr:sp macro="" textlink="VIN_nom">
      <xdr:nvSpPr>
        <xdr:cNvPr id="3" name="TextBox 2">
          <a:extLst>
            <a:ext uri="{FF2B5EF4-FFF2-40B4-BE49-F238E27FC236}">
              <a16:creationId xmlns:a16="http://schemas.microsoft.com/office/drawing/2014/main" id="{00000000-0008-0000-0000-000003000000}"/>
            </a:ext>
          </a:extLst>
        </xdr:cNvPr>
        <xdr:cNvSpPr txBox="1"/>
      </xdr:nvSpPr>
      <xdr:spPr>
        <a:xfrm>
          <a:off x="8955763" y="9538447"/>
          <a:ext cx="941294" cy="493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rPr>
            <a:pPr/>
            <a:t>5</a:t>
          </a:fld>
          <a:endParaRPr lang="en-US" sz="2400"/>
        </a:p>
      </xdr:txBody>
    </xdr:sp>
    <xdr:clientData/>
  </xdr:twoCellAnchor>
  <xdr:twoCellAnchor>
    <xdr:from>
      <xdr:col>15</xdr:col>
      <xdr:colOff>568726</xdr:colOff>
      <xdr:row>49</xdr:row>
      <xdr:rowOff>62752</xdr:rowOff>
    </xdr:from>
    <xdr:to>
      <xdr:col>17</xdr:col>
      <xdr:colOff>318274</xdr:colOff>
      <xdr:row>51</xdr:row>
      <xdr:rowOff>161363</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9354138" y="10338546"/>
          <a:ext cx="937371" cy="546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xdr:twoCellAnchor>
    <xdr:from>
      <xdr:col>11</xdr:col>
      <xdr:colOff>376517</xdr:colOff>
      <xdr:row>74</xdr:row>
      <xdr:rowOff>26894</xdr:rowOff>
    </xdr:from>
    <xdr:to>
      <xdr:col>13</xdr:col>
      <xdr:colOff>116540</xdr:colOff>
      <xdr:row>76</xdr:row>
      <xdr:rowOff>134470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96635" y="14379388"/>
          <a:ext cx="959223" cy="493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12</xdr:col>
      <xdr:colOff>439261</xdr:colOff>
      <xdr:row>74</xdr:row>
      <xdr:rowOff>35860</xdr:rowOff>
    </xdr:from>
    <xdr:to>
      <xdr:col>14</xdr:col>
      <xdr:colOff>161355</xdr:colOff>
      <xdr:row>76</xdr:row>
      <xdr:rowOff>143437</xdr:rowOff>
    </xdr:to>
    <xdr:sp macro="" textlink="VIN_nom">
      <xdr:nvSpPr>
        <xdr:cNvPr id="10" name="TextBox 9">
          <a:extLst>
            <a:ext uri="{FF2B5EF4-FFF2-40B4-BE49-F238E27FC236}">
              <a16:creationId xmlns:a16="http://schemas.microsoft.com/office/drawing/2014/main" id="{00000000-0008-0000-0000-00000A000000}"/>
            </a:ext>
          </a:extLst>
        </xdr:cNvPr>
        <xdr:cNvSpPr txBox="1"/>
      </xdr:nvSpPr>
      <xdr:spPr>
        <a:xfrm>
          <a:off x="7368979" y="14388354"/>
          <a:ext cx="941294" cy="493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rPr>
            <a:pPr/>
            <a:t>5</a:t>
          </a:fld>
          <a:endParaRPr lang="en-US" sz="2400"/>
        </a:p>
      </xdr:txBody>
    </xdr:sp>
    <xdr:clientData/>
  </xdr:twoCellAnchor>
  <xdr:twoCellAnchor>
    <xdr:from>
      <xdr:col>13</xdr:col>
      <xdr:colOff>233079</xdr:colOff>
      <xdr:row>74</xdr:row>
      <xdr:rowOff>26894</xdr:rowOff>
    </xdr:from>
    <xdr:to>
      <xdr:col>14</xdr:col>
      <xdr:colOff>582702</xdr:colOff>
      <xdr:row>76</xdr:row>
      <xdr:rowOff>134470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772397" y="14379388"/>
          <a:ext cx="959223" cy="493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xdr:twoCellAnchor>
    <xdr:from>
      <xdr:col>11</xdr:col>
      <xdr:colOff>99097</xdr:colOff>
      <xdr:row>67</xdr:row>
      <xdr:rowOff>155530</xdr:rowOff>
    </xdr:from>
    <xdr:to>
      <xdr:col>13</xdr:col>
      <xdr:colOff>150962</xdr:colOff>
      <xdr:row>68</xdr:row>
      <xdr:rowOff>132991</xdr:rowOff>
    </xdr:to>
    <xdr:sp macro="" textlink="Loop_Modeling!A69">
      <xdr:nvSpPr>
        <xdr:cNvPr id="14" name="TextBox 13">
          <a:extLst>
            <a:ext uri="{FF2B5EF4-FFF2-40B4-BE49-F238E27FC236}">
              <a16:creationId xmlns:a16="http://schemas.microsoft.com/office/drawing/2014/main" id="{00000000-0008-0000-0000-00000E000000}"/>
            </a:ext>
          </a:extLst>
        </xdr:cNvPr>
        <xdr:cNvSpPr txBox="1"/>
      </xdr:nvSpPr>
      <xdr:spPr>
        <a:xfrm>
          <a:off x="6475455" y="14328011"/>
          <a:ext cx="1230809" cy="1787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6E2E744-8A5D-4458-A426-E4363EDE50C7}" type="TxLink">
            <a:rPr lang="en-US" sz="1100" b="1" i="0" u="none" strike="noStrike">
              <a:solidFill>
                <a:schemeClr val="accent1">
                  <a:lumMod val="75000"/>
                </a:schemeClr>
              </a:solidFill>
              <a:latin typeface="Calibri"/>
              <a:cs typeface="Calibri"/>
            </a:rPr>
            <a:pPr/>
            <a:t>Phase Margin = 89°</a:t>
          </a:fld>
          <a:endParaRPr lang="en-US" sz="2400" b="1">
            <a:solidFill>
              <a:schemeClr val="accent1">
                <a:lumMod val="75000"/>
              </a:schemeClr>
            </a:solidFill>
          </a:endParaRPr>
        </a:p>
      </xdr:txBody>
    </xdr:sp>
    <xdr:clientData/>
  </xdr:twoCellAnchor>
  <xdr:twoCellAnchor>
    <xdr:from>
      <xdr:col>11</xdr:col>
      <xdr:colOff>98632</xdr:colOff>
      <xdr:row>66</xdr:row>
      <xdr:rowOff>109818</xdr:rowOff>
    </xdr:from>
    <xdr:to>
      <xdr:col>15</xdr:col>
      <xdr:colOff>224116</xdr:colOff>
      <xdr:row>67</xdr:row>
      <xdr:rowOff>123265</xdr:rowOff>
    </xdr:to>
    <xdr:sp macro="" textlink="Loop_Modeling!A68">
      <xdr:nvSpPr>
        <xdr:cNvPr id="15" name="TextBox 14">
          <a:extLst>
            <a:ext uri="{FF2B5EF4-FFF2-40B4-BE49-F238E27FC236}">
              <a16:creationId xmlns:a16="http://schemas.microsoft.com/office/drawing/2014/main" id="{00000000-0008-0000-0000-00000F000000}"/>
            </a:ext>
          </a:extLst>
        </xdr:cNvPr>
        <xdr:cNvSpPr txBox="1"/>
      </xdr:nvSpPr>
      <xdr:spPr>
        <a:xfrm>
          <a:off x="6508397" y="13982700"/>
          <a:ext cx="2501131" cy="2039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F506B42-A944-4597-8E98-BD1D41977E0E}" type="TxLink">
            <a:rPr lang="en-US" sz="1100" b="1" i="0" u="none" strike="noStrike">
              <a:solidFill>
                <a:srgbClr val="C00000"/>
              </a:solidFill>
              <a:latin typeface="+mn-lt"/>
              <a:cs typeface="Arial" panose="020B0604020202020204" pitchFamily="34" charset="0"/>
            </a:rPr>
            <a:pPr/>
            <a:t>Crossover Frequency = 3.1 kHz</a:t>
          </a:fld>
          <a:endParaRPr lang="en-US" sz="2400" b="1">
            <a:solidFill>
              <a:srgbClr val="C00000"/>
            </a:solidFill>
            <a:latin typeface="+mn-lt"/>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10</xdr:col>
          <xdr:colOff>18648</xdr:colOff>
          <xdr:row>6</xdr:row>
          <xdr:rowOff>9525</xdr:rowOff>
        </xdr:from>
        <xdr:to>
          <xdr:col>25</xdr:col>
          <xdr:colOff>417820</xdr:colOff>
          <xdr:row>36</xdr:row>
          <xdr:rowOff>167640</xdr:rowOff>
        </xdr:to>
        <xdr:pic>
          <xdr:nvPicPr>
            <xdr:cNvPr id="18" name="Picture 17">
              <a:extLst>
                <a:ext uri="{FF2B5EF4-FFF2-40B4-BE49-F238E27FC236}">
                  <a16:creationId xmlns:a16="http://schemas.microsoft.com/office/drawing/2014/main" id="{00000000-0008-0000-0000-000012000000}"/>
                </a:ext>
              </a:extLst>
            </xdr:cNvPr>
            <xdr:cNvPicPr>
              <a:picLocks noChangeAspect="1"/>
              <a:extLst>
                <a:ext uri="{84589F7E-364E-4C9E-8A38-B11213B215E9}">
                  <a14:cameraTool cellRange="display_SCH" spid="_x0000_s1327"/>
                </a:ext>
              </a:extLst>
            </xdr:cNvPicPr>
          </xdr:nvPicPr>
          <xdr:blipFill rotWithShape="1">
            <a:blip xmlns:r="http://schemas.openxmlformats.org/officeDocument/2006/relationships" r:embed="rId3"/>
            <a:srcRect/>
            <a:stretch>
              <a:fillRect/>
            </a:stretch>
          </xdr:blipFill>
          <xdr:spPr>
            <a:xfrm>
              <a:off x="5834501" y="1567143"/>
              <a:ext cx="9195790" cy="6116058"/>
            </a:xfrm>
            <a:prstGeom prst="rect">
              <a:avLst/>
            </a:prstGeom>
            <a:solidFill>
              <a:schemeClr val="bg1"/>
            </a:solidFill>
          </xdr:spPr>
        </xdr:pic>
        <xdr:clientData/>
      </xdr:twoCellAnchor>
    </mc:Choice>
    <mc:Fallback/>
  </mc:AlternateContent>
  <xdr:twoCellAnchor>
    <xdr:from>
      <xdr:col>14</xdr:col>
      <xdr:colOff>333375</xdr:colOff>
      <xdr:row>16</xdr:row>
      <xdr:rowOff>85724</xdr:rowOff>
    </xdr:from>
    <xdr:to>
      <xdr:col>16</xdr:col>
      <xdr:colOff>428625</xdr:colOff>
      <xdr:row>18</xdr:row>
      <xdr:rowOff>57149</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8486775" y="3543299"/>
          <a:ext cx="127635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Arial" panose="020B0604020202020204" pitchFamily="34" charset="0"/>
              <a:cs typeface="Arial" panose="020B0604020202020204" pitchFamily="34" charset="0"/>
            </a:rPr>
            <a:t>LM5155/56</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851647</xdr:colOff>
      <xdr:row>215</xdr:row>
      <xdr:rowOff>170330</xdr:rowOff>
    </xdr:from>
    <xdr:to>
      <xdr:col>14</xdr:col>
      <xdr:colOff>484094</xdr:colOff>
      <xdr:row>223</xdr:row>
      <xdr:rowOff>71719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807388" y="26544495"/>
          <a:ext cx="3541059" cy="1335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Need to explain the placement of the Zero</a:t>
          </a:r>
          <a:r>
            <a:rPr lang="en-US" sz="1100" baseline="0"/>
            <a:t> a little bit better. The pole location should also be based on the location of the zero</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63500</xdr:colOff>
          <xdr:row>154</xdr:row>
          <xdr:rowOff>139700</xdr:rowOff>
        </xdr:from>
        <xdr:to>
          <xdr:col>12</xdr:col>
          <xdr:colOff>393700</xdr:colOff>
          <xdr:row>157</xdr:row>
          <xdr:rowOff>25400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xdr:from>
      <xdr:col>8</xdr:col>
      <xdr:colOff>842683</xdr:colOff>
      <xdr:row>186</xdr:row>
      <xdr:rowOff>17930</xdr:rowOff>
    </xdr:from>
    <xdr:to>
      <xdr:col>14</xdr:col>
      <xdr:colOff>475130</xdr:colOff>
      <xdr:row>195</xdr:row>
      <xdr:rowOff>98613</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798424" y="23523389"/>
          <a:ext cx="3541059" cy="1335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Loop</a:t>
          </a:r>
          <a:r>
            <a:rPr lang="en-US" sz="1100" baseline="0"/>
            <a:t> compensation is calculated for the minimum input voltage. This ensure stability over the input voltage range</a:t>
          </a:r>
          <a:endParaRPr lang="en-US" sz="1100"/>
        </a:p>
      </xdr:txBody>
    </xdr:sp>
    <xdr:clientData/>
  </xdr:twoCellAnchor>
  <xdr:twoCellAnchor>
    <xdr:from>
      <xdr:col>14</xdr:col>
      <xdr:colOff>11205</xdr:colOff>
      <xdr:row>33</xdr:row>
      <xdr:rowOff>100853</xdr:rowOff>
    </xdr:from>
    <xdr:to>
      <xdr:col>18</xdr:col>
      <xdr:colOff>582705</xdr:colOff>
      <xdr:row>38</xdr:row>
      <xdr:rowOff>78441</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2920381" y="6555441"/>
          <a:ext cx="2991971"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Lm is </a:t>
          </a:r>
        </a:p>
        <a:p>
          <a:r>
            <a:rPr lang="en-US" sz="1100" baseline="0"/>
            <a:t>lower then each of them -&gt; CCM</a:t>
          </a:r>
        </a:p>
        <a:p>
          <a:r>
            <a:rPr lang="en-US" sz="1100" baseline="0"/>
            <a:t>Higher </a:t>
          </a:r>
          <a:r>
            <a:rPr lang="en-US" sz="1100" baseline="0">
              <a:solidFill>
                <a:schemeClr val="dk1"/>
              </a:solidFill>
              <a:effectLst/>
              <a:latin typeface="+mn-lt"/>
              <a:ea typeface="+mn-ea"/>
              <a:cs typeface="+mn-cs"/>
            </a:rPr>
            <a:t>lower then each of them </a:t>
          </a:r>
          <a:r>
            <a:rPr lang="en-US" sz="1100" baseline="0"/>
            <a:t> -&gt; DCM</a:t>
          </a:r>
        </a:p>
        <a:p>
          <a:r>
            <a:rPr lang="en-US" sz="1100" baseline="0"/>
            <a:t>else CCM and DCM </a:t>
          </a:r>
          <a:endParaRPr lang="en-US" sz="1100"/>
        </a:p>
      </xdr:txBody>
    </xdr:sp>
    <xdr:clientData/>
  </xdr:twoCellAnchor>
  <xdr:twoCellAnchor>
    <xdr:from>
      <xdr:col>13</xdr:col>
      <xdr:colOff>268941</xdr:colOff>
      <xdr:row>23</xdr:row>
      <xdr:rowOff>112059</xdr:rowOff>
    </xdr:from>
    <xdr:to>
      <xdr:col>16</xdr:col>
      <xdr:colOff>571500</xdr:colOff>
      <xdr:row>28</xdr:row>
      <xdr:rowOff>168088</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2920382" y="4661647"/>
          <a:ext cx="2330824" cy="1008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Check</a:t>
          </a:r>
          <a:r>
            <a:rPr lang="en-US" sz="1100" baseline="0"/>
            <a:t> if DC for DCM would be less the DC for CCM -&gt; in this case it would run in DCM mode</a:t>
          </a:r>
        </a:p>
        <a:p>
          <a:r>
            <a:rPr lang="en-US" sz="1100" baseline="0"/>
            <a:t>Check if at the 3 points CCM or DCM would be used</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528917</xdr:colOff>
      <xdr:row>67</xdr:row>
      <xdr:rowOff>89006</xdr:rowOff>
    </xdr:from>
    <xdr:to>
      <xdr:col>30</xdr:col>
      <xdr:colOff>79513</xdr:colOff>
      <xdr:row>86</xdr:row>
      <xdr:rowOff>92765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1051560</xdr:colOff>
      <xdr:row>49</xdr:row>
      <xdr:rowOff>45720</xdr:rowOff>
    </xdr:from>
    <xdr:to>
      <xdr:col>25</xdr:col>
      <xdr:colOff>563880</xdr:colOff>
      <xdr:row>73</xdr:row>
      <xdr:rowOff>19050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186690</xdr:colOff>
      <xdr:row>39</xdr:row>
      <xdr:rowOff>167640</xdr:rowOff>
    </xdr:from>
    <xdr:to>
      <xdr:col>34</xdr:col>
      <xdr:colOff>530487</xdr:colOff>
      <xdr:row>45</xdr:row>
      <xdr:rowOff>56599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21541740" y="5482590"/>
          <a:ext cx="1840230" cy="1045293"/>
        </a:xfrm>
        <a:prstGeom prst="rect">
          <a:avLst/>
        </a:prstGeom>
      </xdr:spPr>
    </xdr:pic>
    <xdr:clientData/>
  </xdr:twoCellAnchor>
  <xdr:twoCellAnchor editAs="oneCell">
    <xdr:from>
      <xdr:col>34</xdr:col>
      <xdr:colOff>247650</xdr:colOff>
      <xdr:row>40</xdr:row>
      <xdr:rowOff>60960</xdr:rowOff>
    </xdr:from>
    <xdr:to>
      <xdr:col>38</xdr:col>
      <xdr:colOff>567929</xdr:colOff>
      <xdr:row>44</xdr:row>
      <xdr:rowOff>148662</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xfrm>
          <a:off x="23888700" y="5566410"/>
          <a:ext cx="2758679" cy="830649"/>
        </a:xfrm>
        <a:prstGeom prst="rect">
          <a:avLst/>
        </a:prstGeom>
      </xdr:spPr>
    </xdr:pic>
    <xdr:clientData/>
  </xdr:twoCellAnchor>
  <xdr:twoCellAnchor>
    <xdr:from>
      <xdr:col>31</xdr:col>
      <xdr:colOff>30480</xdr:colOff>
      <xdr:row>49</xdr:row>
      <xdr:rowOff>64770</xdr:rowOff>
    </xdr:from>
    <xdr:to>
      <xdr:col>42</xdr:col>
      <xdr:colOff>144780</xdr:colOff>
      <xdr:row>73</xdr:row>
      <xdr:rowOff>38100</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317182</xdr:colOff>
      <xdr:row>23</xdr:row>
      <xdr:rowOff>62388</xdr:rowOff>
    </xdr:from>
    <xdr:to>
      <xdr:col>24</xdr:col>
      <xdr:colOff>450532</xdr:colOff>
      <xdr:row>47</xdr:row>
      <xdr:rowOff>20478</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8325</xdr:colOff>
      <xdr:row>38</xdr:row>
      <xdr:rowOff>8964</xdr:rowOff>
    </xdr:from>
    <xdr:to>
      <xdr:col>11</xdr:col>
      <xdr:colOff>591031</xdr:colOff>
      <xdr:row>46</xdr:row>
      <xdr:rowOff>131269</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6187669" y="7533714"/>
          <a:ext cx="2571050" cy="164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 points</a:t>
          </a:r>
          <a:r>
            <a:rPr lang="en-US" sz="1100" baseline="0"/>
            <a:t> later to show where the pole and zerDc_Mode_Loopos of the loops are at. Similar to the LM5175 QS</a:t>
          </a:r>
        </a:p>
        <a:p>
          <a:endParaRPr lang="en-US" sz="1100" baseline="0"/>
        </a:p>
        <a:p>
          <a:r>
            <a:rPr lang="en-US" sz="1100" baseline="0"/>
            <a:t>Should also update to the more accurate equation of the DC gain. See Mathcad and Sheehan paper.</a:t>
          </a:r>
          <a:endParaRPr lang="en-US" sz="1100"/>
        </a:p>
      </xdr:txBody>
    </xdr:sp>
    <xdr:clientData/>
  </xdr:twoCellAnchor>
  <xdr:twoCellAnchor>
    <xdr:from>
      <xdr:col>8</xdr:col>
      <xdr:colOff>0</xdr:colOff>
      <xdr:row>52</xdr:row>
      <xdr:rowOff>13855</xdr:rowOff>
    </xdr:from>
    <xdr:to>
      <xdr:col>12</xdr:col>
      <xdr:colOff>83127</xdr:colOff>
      <xdr:row>63</xdr:row>
      <xdr:rowOff>13855</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6276109" y="8936182"/>
          <a:ext cx="2521527"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Next</a:t>
          </a:r>
          <a:r>
            <a:rPr lang="en-US" sz="1100" baseline="0"/>
            <a:t> Revision additions</a:t>
          </a:r>
        </a:p>
        <a:p>
          <a:r>
            <a:rPr lang="en-US" sz="1100" baseline="0"/>
            <a:t>- Add the effect of the EA output resistance and capacitance</a:t>
          </a:r>
        </a:p>
      </xdr:txBody>
    </xdr:sp>
    <xdr:clientData/>
  </xdr:twoCellAnchor>
  <xdr:twoCellAnchor>
    <xdr:from>
      <xdr:col>8</xdr:col>
      <xdr:colOff>291694</xdr:colOff>
      <xdr:row>12</xdr:row>
      <xdr:rowOff>113739</xdr:rowOff>
    </xdr:from>
    <xdr:to>
      <xdr:col>12</xdr:col>
      <xdr:colOff>267182</xdr:colOff>
      <xdr:row>20</xdr:row>
      <xdr:rowOff>188419</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6471038" y="2637864"/>
          <a:ext cx="2571050" cy="164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Duty Cycle</a:t>
          </a:r>
          <a:r>
            <a:rPr lang="en-US" sz="1100" baseline="0"/>
            <a:t> mode for </a:t>
          </a:r>
          <a:r>
            <a:rPr lang="en-US" sz="1100"/>
            <a:t>Loop Comenstation is fixed to</a:t>
          </a:r>
          <a:r>
            <a:rPr lang="en-US" sz="1100" baseline="0"/>
            <a:t> CCM as it stable in DCM when stable in CCM but if required could be also set to selected mode on variable Management page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548640</xdr:colOff>
      <xdr:row>8</xdr:row>
      <xdr:rowOff>0</xdr:rowOff>
    </xdr:from>
    <xdr:to>
      <xdr:col>12</xdr:col>
      <xdr:colOff>449580</xdr:colOff>
      <xdr:row>10</xdr:row>
      <xdr:rowOff>123546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69480" y="1638300"/>
          <a:ext cx="2948940" cy="489306"/>
        </a:xfrm>
        <a:prstGeom prst="rect">
          <a:avLst/>
        </a:prstGeom>
      </xdr:spPr>
    </xdr:pic>
    <xdr:clientData/>
  </xdr:twoCellAnchor>
  <xdr:twoCellAnchor editAs="oneCell">
    <xdr:from>
      <xdr:col>8</xdr:col>
      <xdr:colOff>7620</xdr:colOff>
      <xdr:row>12</xdr:row>
      <xdr:rowOff>132742</xdr:rowOff>
    </xdr:from>
    <xdr:to>
      <xdr:col>13</xdr:col>
      <xdr:colOff>350520</xdr:colOff>
      <xdr:row>16</xdr:row>
      <xdr:rowOff>76286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338060" y="2502562"/>
          <a:ext cx="3390900" cy="675064"/>
        </a:xfrm>
        <a:prstGeom prst="rect">
          <a:avLst/>
        </a:prstGeom>
      </xdr:spPr>
    </xdr:pic>
    <xdr:clientData/>
  </xdr:twoCellAnchor>
  <xdr:twoCellAnchor editAs="oneCell">
    <xdr:from>
      <xdr:col>9</xdr:col>
      <xdr:colOff>129540</xdr:colOff>
      <xdr:row>22</xdr:row>
      <xdr:rowOff>0</xdr:rowOff>
    </xdr:from>
    <xdr:to>
      <xdr:col>13</xdr:col>
      <xdr:colOff>76200</xdr:colOff>
      <xdr:row>30</xdr:row>
      <xdr:rowOff>45370</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69580" y="4198620"/>
          <a:ext cx="2385060" cy="152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9157</xdr:colOff>
      <xdr:row>3</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609599</xdr:colOff>
      <xdr:row>1</xdr:row>
      <xdr:rowOff>0</xdr:rowOff>
    </xdr:from>
    <xdr:to>
      <xdr:col>1</xdr:col>
      <xdr:colOff>5057640</xdr:colOff>
      <xdr:row>1</xdr:row>
      <xdr:rowOff>2762250</xdr:rowOff>
    </xdr:to>
    <xdr:pic>
      <xdr:nvPicPr>
        <xdr:cNvPr id="7" name="Picture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599" y="190500"/>
          <a:ext cx="5057641"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609599</xdr:colOff>
      <xdr:row>3</xdr:row>
      <xdr:rowOff>0</xdr:rowOff>
    </xdr:from>
    <xdr:to>
      <xdr:col>1</xdr:col>
      <xdr:colOff>5057640</xdr:colOff>
      <xdr:row>3</xdr:row>
      <xdr:rowOff>2762250</xdr:rowOff>
    </xdr:to>
    <xdr:pic>
      <xdr:nvPicPr>
        <xdr:cNvPr id="8" name="Picture 7">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599" y="3771900"/>
          <a:ext cx="5057641"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152400</xdr:rowOff>
    </xdr:from>
    <xdr:to>
      <xdr:col>1</xdr:col>
      <xdr:colOff>592455</xdr:colOff>
      <xdr:row>2</xdr:row>
      <xdr:rowOff>93296</xdr:rowOff>
    </xdr:to>
    <xdr:pic>
      <xdr:nvPicPr>
        <xdr:cNvPr id="2" name="Picture 1" descr="ti logo">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52400"/>
          <a:ext cx="2314575" cy="295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200025</xdr:colOff>
      <xdr:row>0</xdr:row>
      <xdr:rowOff>114300</xdr:rowOff>
    </xdr:from>
    <xdr:ext cx="3752850" cy="381708"/>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1914525" y="114300"/>
          <a:ext cx="3752850"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latin typeface="Arial Black" panose="020B0A04020102020204" pitchFamily="34" charset="0"/>
            </a:rPr>
            <a:t>About this tool...</a:t>
          </a:r>
        </a:p>
      </xdr:txBody>
    </xdr:sp>
    <xdr:clientData/>
  </xdr:oneCellAnchor>
  <xdr:oneCellAnchor>
    <xdr:from>
      <xdr:col>3</xdr:col>
      <xdr:colOff>323850</xdr:colOff>
      <xdr:row>1</xdr:row>
      <xdr:rowOff>28575</xdr:rowOff>
    </xdr:from>
    <xdr:ext cx="4719497" cy="254557"/>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800-000004000000}"/>
            </a:ext>
          </a:extLst>
        </xdr:cNvPr>
        <xdr:cNvSpPr txBox="1"/>
      </xdr:nvSpPr>
      <xdr:spPr>
        <a:xfrm>
          <a:off x="6419850" y="209550"/>
          <a:ext cx="471949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Arial" panose="020B0604020202020204" pitchFamily="34" charset="0"/>
              <a:ea typeface="+mn-ea"/>
              <a:cs typeface="Arial" panose="020B0604020202020204" pitchFamily="34" charset="0"/>
              <a:hlinkClick xmlns:r="http://schemas.openxmlformats.org/officeDocument/2006/relationships" r:id=""/>
            </a:rPr>
            <a:t>© Copyright 2021</a:t>
          </a:r>
          <a:r>
            <a:rPr lang="en-US" sz="1100" b="0" i="0">
              <a:solidFill>
                <a:schemeClr val="tx1"/>
              </a:solidFill>
              <a:effectLst/>
              <a:latin typeface="Arial" panose="020B0604020202020204" pitchFamily="34" charset="0"/>
              <a:ea typeface="+mn-ea"/>
              <a:cs typeface="Arial" panose="020B0604020202020204" pitchFamily="34" charset="0"/>
            </a:rPr>
            <a:t> Texas Instruments Incorporated. All rights reserved.</a:t>
          </a:r>
          <a:endParaRPr lang="en-US" sz="1100" b="0">
            <a:latin typeface="Arial" panose="020B0604020202020204" pitchFamily="34" charset="0"/>
            <a:cs typeface="Arial" panose="020B0604020202020204" pitchFamily="34" charset="0"/>
          </a:endParaRPr>
        </a:p>
      </xdr:txBody>
    </xdr:sp>
    <xdr:clientData/>
  </xdr:oneCellAnchor>
  <xdr:oneCellAnchor>
    <xdr:from>
      <xdr:col>0</xdr:col>
      <xdr:colOff>95247</xdr:colOff>
      <xdr:row>6</xdr:row>
      <xdr:rowOff>47623</xdr:rowOff>
    </xdr:from>
    <xdr:ext cx="11229977" cy="4086227"/>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95247" y="1114423"/>
          <a:ext cx="11229977" cy="4086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latin typeface="Arial" panose="020B0604020202020204" pitchFamily="34" charset="0"/>
              <a:cs typeface="Arial" panose="020B0604020202020204" pitchFamily="34" charset="0"/>
            </a:rPr>
            <a:t>LICENSE INFORMATION:</a:t>
          </a:r>
        </a:p>
        <a:p>
          <a:r>
            <a:rPr lang="en-US" sz="900">
              <a:solidFill>
                <a:schemeClr val="tx1"/>
              </a:solidFill>
              <a:effectLst/>
              <a:latin typeface="Arial" panose="020B0604020202020204" pitchFamily="34" charset="0"/>
              <a:ea typeface="+mn-ea"/>
              <a:cs typeface="Arial" panose="020B0604020202020204" pitchFamily="34" charset="0"/>
            </a:rPr>
            <a:t>Copyright (c) 2021 Texas Instruments Incorporated</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All rights reserved not granted herein.</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Limited License.  </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Redistributions must preserve existing copyright notices and reproduce this license (including the above copyright notice and the disclaimer and (if applicable) source code license limitations below) in the documentation and/or other materials provided with the distribution</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Redistribution and use in binary form, without modification, are permitted provided that the following conditions are met:</a:t>
          </a:r>
        </a:p>
        <a:p>
          <a:r>
            <a:rPr lang="en-US" sz="900">
              <a:solidFill>
                <a:schemeClr val="tx1"/>
              </a:solidFill>
              <a:effectLst/>
              <a:latin typeface="Arial" panose="020B0604020202020204" pitchFamily="34" charset="0"/>
              <a:ea typeface="+mn-ea"/>
              <a:cs typeface="Arial" panose="020B0604020202020204" pitchFamily="34" charset="0"/>
            </a:rPr>
            <a:t>*	No reverse engineering, decompilation, or disassembly of this software is permitted with respect to any software provided in binary form. </a:t>
          </a:r>
        </a:p>
        <a:p>
          <a:r>
            <a:rPr lang="en-US" sz="900">
              <a:solidFill>
                <a:schemeClr val="tx1"/>
              </a:solidFill>
              <a:effectLst/>
              <a:latin typeface="Arial" panose="020B0604020202020204" pitchFamily="34" charset="0"/>
              <a:ea typeface="+mn-ea"/>
              <a:cs typeface="Arial" panose="020B0604020202020204" pitchFamily="34" charset="0"/>
            </a:rPr>
            <a:t>*	Any redistribution and use are licensed by TI for use only with TI Devices.</a:t>
          </a:r>
        </a:p>
        <a:p>
          <a:r>
            <a:rPr lang="en-US" sz="900">
              <a:solidFill>
                <a:schemeClr val="tx1"/>
              </a:solidFill>
              <a:effectLst/>
              <a:latin typeface="Arial" panose="020B0604020202020204" pitchFamily="34" charset="0"/>
              <a:ea typeface="+mn-ea"/>
              <a:cs typeface="Arial" panose="020B0604020202020204" pitchFamily="34" charset="0"/>
            </a:rPr>
            <a:t>*	Nothing shall obligate TI to provide you with source code for the software licensed and provided to you in object code.</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If software source code is provided to you, modification and redistribution of the source code are permitted provided that the following conditions are met:</a:t>
          </a:r>
        </a:p>
        <a:p>
          <a:r>
            <a:rPr lang="en-US" sz="900">
              <a:solidFill>
                <a:schemeClr val="tx1"/>
              </a:solidFill>
              <a:effectLst/>
              <a:latin typeface="Arial" panose="020B0604020202020204" pitchFamily="34" charset="0"/>
              <a:ea typeface="+mn-ea"/>
              <a:cs typeface="Arial" panose="020B0604020202020204" pitchFamily="34" charset="0"/>
            </a:rPr>
            <a:t>*	Any redistribution and use of the source code, including any resulting derivative works, are licensed by TI for use only with TI Devices.</a:t>
          </a:r>
        </a:p>
        <a:p>
          <a:r>
            <a:rPr lang="en-US" sz="900">
              <a:solidFill>
                <a:schemeClr val="tx1"/>
              </a:solidFill>
              <a:effectLst/>
              <a:latin typeface="Arial" panose="020B0604020202020204" pitchFamily="34" charset="0"/>
              <a:ea typeface="+mn-ea"/>
              <a:cs typeface="Arial" panose="020B0604020202020204" pitchFamily="34" charset="0"/>
            </a:rPr>
            <a:t>*	Any redistribution and use of any object code compiled from the source code and any resulting derivative works, are licensed by TI for use only with TI Devices.</a:t>
          </a:r>
        </a:p>
        <a:p>
          <a:endParaRPr lang="en-US" sz="900">
            <a:solidFill>
              <a:schemeClr val="tx1"/>
            </a:solidFill>
            <a:effectLst/>
            <a:latin typeface="Arial" panose="020B0604020202020204" pitchFamily="34" charset="0"/>
            <a:ea typeface="+mn-ea"/>
            <a:cs typeface="Arial" panose="020B0604020202020204" pitchFamily="34" charset="0"/>
          </a:endParaRPr>
        </a:p>
        <a:p>
          <a:r>
            <a:rPr lang="en-US" sz="900">
              <a:solidFill>
                <a:schemeClr val="tx1"/>
              </a:solidFill>
              <a:effectLst/>
              <a:latin typeface="Arial" panose="020B0604020202020204" pitchFamily="34" charset="0"/>
              <a:ea typeface="+mn-ea"/>
              <a:cs typeface="Arial" panose="020B0604020202020204" pitchFamily="34" charset="0"/>
            </a:rPr>
            <a:t>Neither the name of Texas Instruments Incorporated nor the names of its suppliers may be used to endorse or promote products derived from this software without specific prior written permission.</a:t>
          </a:r>
          <a:endParaRPr lang="en-US" sz="1000" b="1">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000" baseline="0">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DISCLAMER:</a:t>
          </a:r>
        </a:p>
        <a:p>
          <a:pPr marL="0" marR="0" indent="0" defTabSz="914400" eaLnBrk="1" fontAlgn="auto" latinLnBrk="0" hangingPunct="1">
            <a:lnSpc>
              <a:spcPct val="100000"/>
            </a:lnSpc>
            <a:spcBef>
              <a:spcPts val="0"/>
            </a:spcBef>
            <a:spcAft>
              <a:spcPts val="0"/>
            </a:spcAft>
            <a:buClrTx/>
            <a:buSzTx/>
            <a:buFontTx/>
            <a:buNone/>
            <a:tabLst/>
            <a:defRPr/>
          </a:pPr>
          <a:r>
            <a:rPr lang="en-US" sz="800" baseline="0">
              <a:latin typeface="Arial" panose="020B0604020202020204" pitchFamily="34" charset="0"/>
              <a:cs typeface="Arial" panose="020B0604020202020204" pitchFamily="34" charset="0"/>
            </a:rPr>
            <a:t>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a:t>
          </a:r>
        </a:p>
      </xdr:txBody>
    </xdr:sp>
    <xdr:clientData/>
  </xdr:oneCellAnchor>
  <xdr:oneCellAnchor>
    <xdr:from>
      <xdr:col>0</xdr:col>
      <xdr:colOff>95247</xdr:colOff>
      <xdr:row>29</xdr:row>
      <xdr:rowOff>47623</xdr:rowOff>
    </xdr:from>
    <xdr:ext cx="11229977" cy="809627"/>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95247" y="5276848"/>
          <a:ext cx="11229977" cy="809627"/>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IMPORTANT</a:t>
          </a:r>
          <a:r>
            <a:rPr lang="en-US" sz="1100" b="1" baseline="0">
              <a:solidFill>
                <a:schemeClr val="tx1"/>
              </a:solidFill>
              <a:effectLst/>
              <a:latin typeface="+mn-lt"/>
              <a:ea typeface="+mn-ea"/>
              <a:cs typeface="+mn-cs"/>
            </a:rPr>
            <a:t>:   </a:t>
          </a:r>
          <a:endParaRPr lang="en-US" sz="800">
            <a:effectLst/>
          </a:endParaRPr>
        </a:p>
        <a:p>
          <a:r>
            <a:rPr lang="en-US" sz="1100" baseline="0">
              <a:solidFill>
                <a:schemeClr val="tx1"/>
              </a:solidFill>
              <a:effectLst/>
              <a:latin typeface="+mn-lt"/>
              <a:ea typeface="+mn-ea"/>
              <a:cs typeface="+mn-cs"/>
            </a:rPr>
            <a:t>1.  Do not delete this worksheet!</a:t>
          </a:r>
          <a:endParaRPr lang="en-US" sz="800">
            <a:effectLst/>
          </a:endParaRPr>
        </a:p>
        <a:p>
          <a:pPr eaLnBrk="1" fontAlgn="auto" latinLnBrk="0" hangingPunct="1"/>
          <a:r>
            <a:rPr lang="en-US" sz="1100" baseline="0">
              <a:solidFill>
                <a:schemeClr val="tx1"/>
              </a:solidFill>
              <a:effectLst/>
              <a:latin typeface="+mn-lt"/>
              <a:ea typeface="+mn-ea"/>
              <a:cs typeface="+mn-cs"/>
            </a:rPr>
            <a:t>2.  Redistributions must retain the above copyright and the following disclaimer.</a:t>
          </a:r>
          <a:endParaRPr lang="en-US" sz="800">
            <a:effectLst/>
          </a:endParaRPr>
        </a:p>
        <a:p>
          <a:endParaRPr lang="en-US" sz="800" baseline="0">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0196876/Downloads/ADS1235%20Design%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
      <sheetName val="Common-Mode Range"/>
      <sheetName val="Code Conversions"/>
      <sheetName val="Digital Filter"/>
      <sheetName val="STATUS"/>
      <sheetName val="CRC"/>
      <sheetName val="About"/>
      <sheetName val="Help"/>
    </sheetNames>
    <sheetDataSet>
      <sheetData sheetId="0" refreshError="1"/>
      <sheetData sheetId="1" refreshError="1"/>
      <sheetData sheetId="2" refreshError="1"/>
      <sheetData sheetId="3">
        <row r="84">
          <cell r="T84" t="b">
            <v>0</v>
          </cell>
        </row>
      </sheetData>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AA100"/>
  <sheetViews>
    <sheetView tabSelected="1" zoomScale="142" zoomScaleNormal="130" workbookViewId="0">
      <selection activeCell="H14" sqref="H14"/>
    </sheetView>
  </sheetViews>
  <sheetFormatPr baseColWidth="10" defaultColWidth="8.83203125" defaultRowHeight="15" x14ac:dyDescent="0.2"/>
  <cols>
    <col min="1" max="5" width="8.83203125" style="57" customWidth="1"/>
    <col min="6" max="6" width="12.6640625" style="57" bestFit="1" customWidth="1"/>
    <col min="7" max="7" width="8.83203125" style="113" customWidth="1"/>
    <col min="8" max="8" width="12" style="57" bestFit="1" customWidth="1"/>
    <col min="9" max="9" width="4.33203125" style="57" bestFit="1" customWidth="1"/>
    <col min="10" max="10" width="4.6640625" style="57" customWidth="1"/>
    <col min="11" max="21" width="8.83203125" style="57" customWidth="1"/>
    <col min="22" max="22" width="7.33203125" style="57" customWidth="1"/>
    <col min="23" max="26" width="8.83203125" style="57" customWidth="1"/>
    <col min="27" max="27" width="1.6640625" style="114" customWidth="1"/>
    <col min="28" max="16384" width="8.83203125" style="57"/>
  </cols>
  <sheetData>
    <row r="1" spans="1:27" ht="47" customHeight="1" x14ac:dyDescent="0.2">
      <c r="A1" s="53"/>
      <c r="B1" s="53"/>
      <c r="C1" s="53"/>
      <c r="D1" s="53"/>
      <c r="E1" s="54" t="s">
        <v>579</v>
      </c>
      <c r="F1" s="53"/>
      <c r="G1" s="55"/>
      <c r="H1" s="53"/>
      <c r="I1" s="53"/>
      <c r="J1" s="53"/>
      <c r="K1" s="53"/>
      <c r="L1" s="53"/>
      <c r="M1" s="53"/>
      <c r="N1" s="53"/>
      <c r="O1" s="53"/>
      <c r="P1" s="53"/>
      <c r="Q1" s="53"/>
      <c r="R1" s="53"/>
      <c r="S1" s="53"/>
      <c r="T1" s="53"/>
      <c r="U1" s="53"/>
      <c r="V1" s="53"/>
      <c r="W1" s="53"/>
      <c r="X1" s="53"/>
      <c r="Y1" s="53"/>
      <c r="Z1" s="53"/>
      <c r="AA1" s="56"/>
    </row>
    <row r="2" spans="1:27" x14ac:dyDescent="0.2">
      <c r="A2" s="58"/>
      <c r="B2" s="58"/>
      <c r="C2" s="58"/>
      <c r="D2" s="58"/>
      <c r="E2" s="58"/>
      <c r="F2" s="58"/>
      <c r="G2" s="59"/>
      <c r="H2" s="58"/>
      <c r="I2" s="58"/>
      <c r="J2" s="58"/>
      <c r="K2" s="58"/>
      <c r="L2" s="58"/>
      <c r="M2" s="58"/>
      <c r="N2" s="58"/>
      <c r="O2" s="58"/>
      <c r="P2" s="58"/>
      <c r="Q2" s="58"/>
      <c r="R2" s="58"/>
      <c r="S2" s="58"/>
      <c r="T2" s="58"/>
      <c r="U2" s="58"/>
      <c r="V2" s="58"/>
      <c r="W2" s="58"/>
      <c r="X2" s="58"/>
      <c r="Y2" s="58"/>
      <c r="Z2" s="58"/>
      <c r="AA2" s="56"/>
    </row>
    <row r="3" spans="1:27" x14ac:dyDescent="0.2">
      <c r="A3" s="60" t="s">
        <v>1</v>
      </c>
      <c r="B3" s="58"/>
      <c r="C3" s="58"/>
      <c r="D3" s="58"/>
      <c r="E3" s="61"/>
      <c r="F3" s="62" t="s">
        <v>2</v>
      </c>
      <c r="G3" s="59"/>
      <c r="H3" s="58"/>
      <c r="I3" s="58"/>
      <c r="J3" s="58"/>
      <c r="K3" s="58"/>
      <c r="L3" s="58"/>
      <c r="M3" s="58"/>
      <c r="N3" s="229" t="s">
        <v>0</v>
      </c>
      <c r="O3" s="229"/>
      <c r="P3" s="58"/>
      <c r="Q3" s="58"/>
      <c r="R3" s="58"/>
      <c r="S3" s="58"/>
      <c r="T3" s="58"/>
      <c r="U3" s="58"/>
      <c r="V3" s="58"/>
      <c r="W3" s="58"/>
      <c r="X3" s="58"/>
      <c r="Y3" s="58"/>
      <c r="Z3" s="58"/>
      <c r="AA3" s="56"/>
    </row>
    <row r="4" spans="1:27" s="66" customFormat="1" x14ac:dyDescent="0.2">
      <c r="A4" s="63"/>
      <c r="B4" s="63"/>
      <c r="C4" s="63"/>
      <c r="D4" s="63"/>
      <c r="E4" s="63"/>
      <c r="F4" s="63"/>
      <c r="G4" s="64"/>
      <c r="H4" s="63"/>
      <c r="I4" s="63"/>
      <c r="J4" s="63"/>
      <c r="K4" s="63"/>
      <c r="L4" s="63"/>
      <c r="M4" s="63"/>
      <c r="N4" s="63"/>
      <c r="O4" s="63"/>
      <c r="P4" s="63"/>
      <c r="Q4" s="63"/>
      <c r="R4" s="63"/>
      <c r="S4" s="63"/>
      <c r="T4" s="63"/>
      <c r="U4" s="63"/>
      <c r="V4" s="63"/>
      <c r="W4" s="63"/>
      <c r="X4" s="63"/>
      <c r="Y4" s="63"/>
      <c r="Z4" s="63"/>
      <c r="AA4" s="65"/>
    </row>
    <row r="5" spans="1:27" x14ac:dyDescent="0.2">
      <c r="A5" s="67"/>
      <c r="B5" s="67"/>
      <c r="C5" s="67"/>
      <c r="D5" s="67"/>
      <c r="E5" s="67"/>
      <c r="F5" s="67"/>
      <c r="G5" s="68"/>
      <c r="H5" s="67"/>
      <c r="I5" s="67"/>
      <c r="J5" s="67"/>
      <c r="K5" s="67"/>
      <c r="L5" s="67"/>
      <c r="M5" s="67"/>
      <c r="N5" s="67" t="s">
        <v>577</v>
      </c>
      <c r="O5" s="69" t="s">
        <v>578</v>
      </c>
      <c r="P5" s="67"/>
      <c r="Q5" s="67"/>
      <c r="R5" s="67"/>
      <c r="S5" s="67"/>
      <c r="T5" s="67"/>
      <c r="U5" s="67"/>
      <c r="V5" s="67"/>
      <c r="W5" s="67"/>
      <c r="X5" s="67"/>
      <c r="Y5" s="67"/>
      <c r="Z5" s="67"/>
      <c r="AA5" s="56"/>
    </row>
    <row r="6" spans="1:27" ht="16" thickBot="1" x14ac:dyDescent="0.25">
      <c r="A6" s="70" t="s">
        <v>3</v>
      </c>
      <c r="B6" s="67"/>
      <c r="C6" s="67"/>
      <c r="D6" s="67"/>
      <c r="E6" s="67"/>
      <c r="F6" s="67"/>
      <c r="G6" s="68"/>
      <c r="H6" s="67"/>
      <c r="I6" s="67"/>
      <c r="J6" s="67"/>
      <c r="K6" s="67"/>
      <c r="L6" s="67"/>
      <c r="M6" s="67"/>
      <c r="N6" s="67"/>
      <c r="O6" s="67"/>
      <c r="P6" s="67"/>
      <c r="Q6" s="67"/>
      <c r="R6" s="67"/>
      <c r="S6" s="67"/>
      <c r="T6" s="67"/>
      <c r="U6" s="67"/>
      <c r="V6" s="67"/>
      <c r="W6" s="67"/>
      <c r="X6" s="67"/>
      <c r="Y6" s="67"/>
      <c r="Z6" s="67"/>
      <c r="AA6" s="56"/>
    </row>
    <row r="7" spans="1:27" ht="16" x14ac:dyDescent="0.25">
      <c r="A7" s="71"/>
      <c r="B7" s="72"/>
      <c r="C7" s="72"/>
      <c r="D7" s="72"/>
      <c r="E7" s="72"/>
      <c r="F7" s="72"/>
      <c r="G7" s="73" t="s">
        <v>4</v>
      </c>
      <c r="H7" s="116">
        <v>4.8</v>
      </c>
      <c r="I7" s="74" t="s">
        <v>10</v>
      </c>
      <c r="J7" s="67"/>
      <c r="K7" s="67"/>
      <c r="L7" s="67"/>
      <c r="M7" s="67"/>
      <c r="N7" s="67"/>
      <c r="O7" s="67"/>
      <c r="P7" s="67"/>
      <c r="Q7" s="67"/>
      <c r="R7" s="67"/>
      <c r="S7" s="67"/>
      <c r="T7" s="67"/>
      <c r="U7" s="67"/>
      <c r="V7" s="67"/>
      <c r="W7" s="67"/>
      <c r="X7" s="67"/>
      <c r="Y7" s="67"/>
      <c r="Z7" s="67"/>
      <c r="AA7" s="56"/>
    </row>
    <row r="8" spans="1:27" ht="16" x14ac:dyDescent="0.25">
      <c r="A8" s="75"/>
      <c r="B8" s="67"/>
      <c r="C8" s="67"/>
      <c r="D8" s="67"/>
      <c r="E8" s="67"/>
      <c r="F8" s="67"/>
      <c r="G8" s="76" t="s">
        <v>5</v>
      </c>
      <c r="H8" s="117">
        <v>5</v>
      </c>
      <c r="I8" s="77" t="s">
        <v>10</v>
      </c>
      <c r="J8" s="67"/>
      <c r="K8" s="67"/>
      <c r="L8" s="67"/>
      <c r="M8" s="67"/>
      <c r="N8" s="67"/>
      <c r="O8" s="67"/>
      <c r="P8" s="67"/>
      <c r="Q8" s="67"/>
      <c r="R8" s="67"/>
      <c r="S8" s="67"/>
      <c r="T8" s="67"/>
      <c r="U8" s="67"/>
      <c r="V8" s="67"/>
      <c r="W8" s="67"/>
      <c r="X8" s="67"/>
      <c r="Y8" s="67"/>
      <c r="Z8" s="67"/>
      <c r="AA8" s="56"/>
    </row>
    <row r="9" spans="1:27" ht="16" x14ac:dyDescent="0.25">
      <c r="A9" s="75"/>
      <c r="B9" s="67"/>
      <c r="C9" s="67"/>
      <c r="D9" s="67"/>
      <c r="E9" s="67"/>
      <c r="F9" s="67"/>
      <c r="G9" s="76" t="s">
        <v>6</v>
      </c>
      <c r="H9" s="117">
        <v>5.5</v>
      </c>
      <c r="I9" s="77" t="s">
        <v>10</v>
      </c>
      <c r="J9" s="67"/>
      <c r="K9" s="67"/>
      <c r="L9" s="67"/>
      <c r="M9" s="67"/>
      <c r="N9" s="67"/>
      <c r="O9" s="67"/>
      <c r="P9" s="67"/>
      <c r="Q9" s="67"/>
      <c r="R9" s="67"/>
      <c r="S9" s="67"/>
      <c r="T9" s="67"/>
      <c r="U9" s="67"/>
      <c r="V9" s="67"/>
      <c r="W9" s="67"/>
      <c r="X9" s="67"/>
      <c r="Y9" s="67"/>
      <c r="Z9" s="67"/>
      <c r="AA9" s="56"/>
    </row>
    <row r="10" spans="1:27" ht="16" x14ac:dyDescent="0.25">
      <c r="A10" s="75"/>
      <c r="B10" s="67"/>
      <c r="C10" s="67"/>
      <c r="D10" s="67"/>
      <c r="E10" s="67"/>
      <c r="F10" s="67"/>
      <c r="G10" s="76" t="s">
        <v>540</v>
      </c>
      <c r="H10" s="117">
        <v>170</v>
      </c>
      <c r="I10" s="77" t="s">
        <v>10</v>
      </c>
      <c r="J10" s="67"/>
      <c r="K10" s="67"/>
      <c r="L10" s="67"/>
      <c r="M10" s="67"/>
      <c r="N10" s="67"/>
      <c r="O10" s="67"/>
      <c r="P10" s="67"/>
      <c r="Q10" s="67"/>
      <c r="R10" s="67"/>
      <c r="S10" s="67"/>
      <c r="T10" s="67"/>
      <c r="U10" s="67"/>
      <c r="V10" s="67"/>
      <c r="W10" s="67"/>
      <c r="X10" s="67"/>
      <c r="Y10" s="67"/>
      <c r="Z10" s="67"/>
      <c r="AA10" s="56"/>
    </row>
    <row r="11" spans="1:27" ht="16" x14ac:dyDescent="0.25">
      <c r="A11" s="75"/>
      <c r="B11" s="67"/>
      <c r="C11" s="67"/>
      <c r="D11" s="67"/>
      <c r="E11" s="67"/>
      <c r="F11" s="67"/>
      <c r="G11" s="76" t="s">
        <v>7</v>
      </c>
      <c r="H11" s="117">
        <v>0.01</v>
      </c>
      <c r="I11" s="77" t="s">
        <v>11</v>
      </c>
      <c r="J11" s="67"/>
      <c r="K11" s="67"/>
      <c r="L11" s="67"/>
      <c r="M11" s="67"/>
      <c r="N11" s="67"/>
      <c r="O11" s="67"/>
      <c r="P11" s="67"/>
      <c r="Q11" s="67"/>
      <c r="R11" s="67"/>
      <c r="S11" s="67"/>
      <c r="T11" s="67"/>
      <c r="U11" s="67"/>
      <c r="V11" s="67"/>
      <c r="W11" s="67"/>
      <c r="X11" s="67"/>
      <c r="Y11" s="67"/>
      <c r="Z11" s="67"/>
      <c r="AA11" s="56"/>
    </row>
    <row r="12" spans="1:27" ht="16" x14ac:dyDescent="0.25">
      <c r="A12" s="75"/>
      <c r="B12" s="67"/>
      <c r="C12" s="67"/>
      <c r="D12" s="67"/>
      <c r="E12" s="67"/>
      <c r="F12" s="67"/>
      <c r="G12" s="76" t="s">
        <v>8</v>
      </c>
      <c r="H12" s="117">
        <v>100</v>
      </c>
      <c r="I12" s="77" t="s">
        <v>12</v>
      </c>
      <c r="J12" s="67"/>
      <c r="K12" s="67"/>
      <c r="L12" s="67"/>
      <c r="M12" s="67"/>
      <c r="N12" s="67"/>
      <c r="O12" s="67"/>
      <c r="P12" s="67"/>
      <c r="Q12" s="67"/>
      <c r="R12" s="67"/>
      <c r="S12" s="67"/>
      <c r="T12" s="67"/>
      <c r="U12" s="67"/>
      <c r="V12" s="67"/>
      <c r="W12" s="67"/>
      <c r="X12" s="67"/>
      <c r="Y12" s="67"/>
      <c r="Z12" s="67"/>
      <c r="AA12" s="56"/>
    </row>
    <row r="13" spans="1:27" ht="16" x14ac:dyDescent="0.25">
      <c r="A13" s="75"/>
      <c r="B13" s="67"/>
      <c r="C13" s="67"/>
      <c r="D13" s="67"/>
      <c r="E13" s="67"/>
      <c r="F13" s="67"/>
      <c r="G13" s="76" t="s">
        <v>75</v>
      </c>
      <c r="H13" s="118">
        <f>RT/1000</f>
        <v>220.04499999999999</v>
      </c>
      <c r="I13" s="77" t="s">
        <v>76</v>
      </c>
      <c r="J13" s="67"/>
      <c r="K13" s="67"/>
      <c r="L13" s="67"/>
      <c r="M13" s="67"/>
      <c r="N13" s="67"/>
      <c r="O13" s="67"/>
      <c r="P13" s="67"/>
      <c r="Q13" s="67"/>
      <c r="R13" s="67"/>
      <c r="S13" s="67"/>
      <c r="T13" s="67"/>
      <c r="U13" s="67"/>
      <c r="V13" s="67"/>
      <c r="W13" s="67"/>
      <c r="X13" s="67"/>
      <c r="Y13" s="67"/>
      <c r="Z13" s="67"/>
      <c r="AA13" s="56"/>
    </row>
    <row r="14" spans="1:27" x14ac:dyDescent="0.2">
      <c r="A14" s="75"/>
      <c r="B14" s="67"/>
      <c r="C14" s="67"/>
      <c r="D14" s="67"/>
      <c r="E14" s="67"/>
      <c r="F14" s="67"/>
      <c r="G14" s="76" t="s">
        <v>9</v>
      </c>
      <c r="H14" s="228">
        <v>85</v>
      </c>
      <c r="I14" s="77" t="s">
        <v>13</v>
      </c>
      <c r="J14" s="67"/>
      <c r="K14" s="67"/>
      <c r="L14" s="67"/>
      <c r="M14" s="67"/>
      <c r="N14" s="67"/>
      <c r="O14" s="67"/>
      <c r="P14" s="67"/>
      <c r="Q14" s="67"/>
      <c r="R14" s="67"/>
      <c r="S14" s="67"/>
      <c r="T14" s="67"/>
      <c r="U14" s="67"/>
      <c r="V14" s="67"/>
      <c r="W14" s="67"/>
      <c r="X14" s="67"/>
      <c r="Y14" s="67"/>
      <c r="Z14" s="67"/>
      <c r="AA14" s="56"/>
    </row>
    <row r="15" spans="1:27" ht="16" x14ac:dyDescent="0.25">
      <c r="A15" s="75"/>
      <c r="B15" s="67"/>
      <c r="C15" s="67"/>
      <c r="D15" s="67"/>
      <c r="E15" s="67"/>
      <c r="F15" s="67"/>
      <c r="G15" s="76" t="s">
        <v>14</v>
      </c>
      <c r="H15" s="119">
        <f>POUT</f>
        <v>1.7</v>
      </c>
      <c r="I15" s="77" t="s">
        <v>38</v>
      </c>
      <c r="J15" s="67"/>
      <c r="K15" s="67"/>
      <c r="L15" s="67"/>
      <c r="M15" s="67"/>
      <c r="N15" s="67"/>
      <c r="O15" s="67"/>
      <c r="P15" s="67"/>
      <c r="Q15" s="67"/>
      <c r="R15" s="67"/>
      <c r="S15" s="67"/>
      <c r="T15" s="67"/>
      <c r="U15" s="67"/>
      <c r="V15" s="67"/>
      <c r="W15" s="67"/>
      <c r="X15" s="67"/>
      <c r="Y15" s="67"/>
      <c r="Z15" s="67"/>
      <c r="AA15" s="56"/>
    </row>
    <row r="16" spans="1:27" ht="16" x14ac:dyDescent="0.25">
      <c r="A16" s="78"/>
      <c r="B16" s="79"/>
      <c r="C16" s="79"/>
      <c r="D16" s="79"/>
      <c r="E16" s="79"/>
      <c r="F16" s="67"/>
      <c r="G16" s="80" t="s">
        <v>486</v>
      </c>
      <c r="H16" s="119">
        <f>Dc_max_IC*100</f>
        <v>93</v>
      </c>
      <c r="I16" s="77" t="s">
        <v>13</v>
      </c>
      <c r="J16" s="67"/>
      <c r="K16" s="67"/>
      <c r="L16" s="67"/>
      <c r="M16" s="67"/>
      <c r="N16" s="67"/>
      <c r="O16" s="67"/>
      <c r="P16" s="67"/>
      <c r="Q16" s="67"/>
      <c r="R16" s="67"/>
      <c r="S16" s="67"/>
      <c r="T16" s="67"/>
      <c r="U16" s="67"/>
      <c r="V16" s="67"/>
      <c r="W16" s="67"/>
      <c r="X16" s="67"/>
      <c r="Y16" s="67"/>
      <c r="Z16" s="67"/>
      <c r="AA16" s="56"/>
    </row>
    <row r="17" spans="1:27" ht="16" thickBot="1" x14ac:dyDescent="0.25">
      <c r="A17" s="78"/>
      <c r="B17" s="79"/>
      <c r="C17" s="79"/>
      <c r="D17" s="79"/>
      <c r="E17" s="79"/>
      <c r="F17" s="67"/>
      <c r="G17" s="80" t="s">
        <v>518</v>
      </c>
      <c r="H17" s="142">
        <f>Variable_Management!B39*100</f>
        <v>97.176470588235304</v>
      </c>
      <c r="I17" s="77" t="s">
        <v>13</v>
      </c>
      <c r="J17" s="67"/>
      <c r="K17" s="67"/>
      <c r="L17" s="67"/>
      <c r="M17" s="67"/>
      <c r="N17" s="67"/>
      <c r="O17" s="67"/>
      <c r="P17" s="67"/>
      <c r="Q17" s="67"/>
      <c r="R17" s="67"/>
      <c r="S17" s="67"/>
      <c r="T17" s="67"/>
      <c r="U17" s="67"/>
      <c r="V17" s="67"/>
      <c r="W17" s="67"/>
      <c r="X17" s="67"/>
      <c r="Y17" s="67"/>
      <c r="Z17" s="67"/>
      <c r="AA17" s="56"/>
    </row>
    <row r="18" spans="1:27" ht="16" thickBot="1" x14ac:dyDescent="0.25">
      <c r="A18" s="81"/>
      <c r="B18" s="82"/>
      <c r="C18" s="82"/>
      <c r="D18" s="82"/>
      <c r="E18" s="82"/>
      <c r="F18" s="83"/>
      <c r="G18" s="84" t="s">
        <v>522</v>
      </c>
      <c r="H18" s="138"/>
      <c r="I18" s="85"/>
      <c r="J18" s="67"/>
      <c r="K18" s="67"/>
      <c r="L18" s="67"/>
      <c r="M18" s="67"/>
      <c r="N18" s="67"/>
      <c r="O18" s="67"/>
      <c r="P18" s="67"/>
      <c r="Q18" s="67"/>
      <c r="R18" s="67"/>
      <c r="S18" s="67"/>
      <c r="T18" s="67"/>
      <c r="U18" s="67"/>
      <c r="V18" s="67"/>
      <c r="W18" s="67"/>
      <c r="X18" s="67"/>
      <c r="Y18" s="67"/>
      <c r="Z18" s="67"/>
      <c r="AA18" s="56"/>
    </row>
    <row r="19" spans="1:27" x14ac:dyDescent="0.2">
      <c r="A19" s="79"/>
      <c r="B19" s="79"/>
      <c r="C19" s="79"/>
      <c r="D19" s="79"/>
      <c r="E19" s="79"/>
      <c r="F19" s="67"/>
      <c r="G19" s="68"/>
      <c r="H19" s="67"/>
      <c r="I19" s="67"/>
      <c r="J19" s="67"/>
      <c r="K19" s="67"/>
      <c r="L19" s="67"/>
      <c r="M19" s="67"/>
      <c r="N19" s="67"/>
      <c r="O19" s="67"/>
      <c r="P19" s="67"/>
      <c r="Q19" s="67"/>
      <c r="R19" s="67"/>
      <c r="S19" s="67"/>
      <c r="T19" s="67"/>
      <c r="U19" s="67"/>
      <c r="V19" s="67"/>
      <c r="W19" s="67"/>
      <c r="X19" s="67"/>
      <c r="Y19" s="67"/>
      <c r="Z19" s="67"/>
      <c r="AA19" s="56"/>
    </row>
    <row r="20" spans="1:27" ht="16" thickBot="1" x14ac:dyDescent="0.25">
      <c r="A20" s="70" t="s">
        <v>77</v>
      </c>
      <c r="B20" s="79"/>
      <c r="C20" s="79"/>
      <c r="D20" s="79"/>
      <c r="E20" s="79"/>
      <c r="F20" s="67"/>
      <c r="G20" s="68"/>
      <c r="H20" s="67"/>
      <c r="I20" s="67"/>
      <c r="J20" s="67"/>
      <c r="K20" s="67"/>
      <c r="L20" s="67"/>
      <c r="M20" s="67"/>
      <c r="N20" s="67"/>
      <c r="O20" s="67"/>
      <c r="P20" s="67"/>
      <c r="Q20" s="67"/>
      <c r="R20" s="67"/>
      <c r="S20" s="67"/>
      <c r="T20" s="67"/>
      <c r="U20" s="67"/>
      <c r="V20" s="67"/>
      <c r="W20" s="67"/>
      <c r="X20" s="67"/>
      <c r="Y20" s="67"/>
      <c r="Z20" s="67"/>
      <c r="AA20" s="56"/>
    </row>
    <row r="21" spans="1:27" ht="16" x14ac:dyDescent="0.25">
      <c r="A21" s="86"/>
      <c r="B21" s="87"/>
      <c r="C21" s="87"/>
      <c r="D21" s="87"/>
      <c r="E21" s="87"/>
      <c r="F21" s="72"/>
      <c r="G21" s="73" t="s">
        <v>487</v>
      </c>
      <c r="H21" s="116">
        <v>60</v>
      </c>
      <c r="I21" s="74" t="s">
        <v>13</v>
      </c>
      <c r="J21" s="67"/>
      <c r="K21" s="67"/>
      <c r="L21" s="67"/>
      <c r="M21" s="67"/>
      <c r="N21" s="67"/>
      <c r="O21" s="67"/>
      <c r="P21" s="67"/>
      <c r="Q21" s="67"/>
      <c r="R21" s="67"/>
      <c r="S21" s="67"/>
      <c r="T21" s="67"/>
      <c r="U21" s="67"/>
      <c r="V21" s="67"/>
      <c r="W21" s="67"/>
      <c r="X21" s="67"/>
      <c r="Y21" s="67"/>
      <c r="Z21" s="67"/>
      <c r="AA21" s="56"/>
    </row>
    <row r="22" spans="1:27" ht="16" x14ac:dyDescent="0.25">
      <c r="A22" s="75"/>
      <c r="B22" s="67"/>
      <c r="C22" s="67"/>
      <c r="D22" s="67"/>
      <c r="E22" s="67"/>
      <c r="F22" s="67"/>
      <c r="G22" s="76" t="s">
        <v>459</v>
      </c>
      <c r="H22" s="120">
        <f>IF(H18="CCM",Lopt_2*10^6,L_DCM*10^6)</f>
        <v>65.851349480968778</v>
      </c>
      <c r="I22" s="77" t="s">
        <v>542</v>
      </c>
      <c r="J22" s="67"/>
      <c r="K22" s="67"/>
      <c r="L22" s="67"/>
      <c r="M22" s="67"/>
      <c r="N22" s="67"/>
      <c r="O22" s="67"/>
      <c r="P22" s="67"/>
      <c r="Q22" s="67"/>
      <c r="R22" s="67"/>
      <c r="S22" s="67"/>
      <c r="T22" s="67"/>
      <c r="U22" s="67"/>
      <c r="V22" s="67"/>
      <c r="W22" s="67"/>
      <c r="X22" s="67"/>
      <c r="Y22" s="67"/>
      <c r="Z22" s="67"/>
      <c r="AA22" s="56"/>
    </row>
    <row r="23" spans="1:27" ht="16" x14ac:dyDescent="0.25">
      <c r="A23" s="75"/>
      <c r="B23" s="67"/>
      <c r="C23" s="67"/>
      <c r="D23" s="67"/>
      <c r="E23" s="67"/>
      <c r="F23" s="67"/>
      <c r="G23" s="76" t="s">
        <v>460</v>
      </c>
      <c r="H23" s="117">
        <v>10</v>
      </c>
      <c r="I23" s="77" t="s">
        <v>542</v>
      </c>
      <c r="J23" s="67"/>
      <c r="K23" s="67"/>
      <c r="L23" s="67"/>
      <c r="M23" s="67"/>
      <c r="N23" s="67"/>
      <c r="O23" s="67"/>
      <c r="P23" s="67"/>
      <c r="Q23" s="67"/>
      <c r="R23" s="67"/>
      <c r="S23" s="67"/>
      <c r="T23" s="67"/>
      <c r="U23" s="67"/>
      <c r="V23" s="67"/>
      <c r="W23" s="67"/>
      <c r="X23" s="67"/>
      <c r="Y23" s="67"/>
      <c r="Z23" s="67"/>
      <c r="AA23" s="56"/>
    </row>
    <row r="24" spans="1:27" ht="16" x14ac:dyDescent="0.25">
      <c r="A24" s="75"/>
      <c r="B24" s="67"/>
      <c r="C24" s="67"/>
      <c r="D24" s="67"/>
      <c r="E24" s="67"/>
      <c r="F24" s="67"/>
      <c r="G24" s="76" t="s">
        <v>81</v>
      </c>
      <c r="H24" s="117">
        <v>35</v>
      </c>
      <c r="I24" s="77" t="s">
        <v>105</v>
      </c>
      <c r="J24" s="67"/>
      <c r="K24" s="67"/>
      <c r="L24" s="67"/>
      <c r="M24" s="67"/>
      <c r="N24" s="67"/>
      <c r="O24" s="67"/>
      <c r="P24" s="67"/>
      <c r="Q24" s="67"/>
      <c r="R24" s="67"/>
      <c r="S24" s="67"/>
      <c r="T24" s="67"/>
      <c r="U24" s="67"/>
      <c r="V24" s="67"/>
      <c r="W24" s="67"/>
      <c r="X24" s="67"/>
      <c r="Y24" s="67"/>
      <c r="Z24" s="67"/>
      <c r="AA24" s="56"/>
    </row>
    <row r="25" spans="1:27" ht="17" thickBot="1" x14ac:dyDescent="0.3">
      <c r="A25" s="88"/>
      <c r="B25" s="83"/>
      <c r="C25" s="83"/>
      <c r="D25" s="83"/>
      <c r="E25" s="83"/>
      <c r="F25" s="83"/>
      <c r="G25" s="89" t="s">
        <v>106</v>
      </c>
      <c r="H25" s="121">
        <f>ILp_VINmin</f>
        <v>4.6644705882352948</v>
      </c>
      <c r="I25" s="85" t="s">
        <v>11</v>
      </c>
      <c r="J25" s="67"/>
      <c r="K25" s="67"/>
      <c r="L25" s="67"/>
      <c r="M25" s="67"/>
      <c r="N25" s="67"/>
      <c r="O25" s="67"/>
      <c r="P25" s="67"/>
      <c r="Q25" s="67"/>
      <c r="R25" s="67"/>
      <c r="S25" s="67"/>
      <c r="T25" s="67"/>
      <c r="U25" s="67"/>
      <c r="V25" s="67"/>
      <c r="W25" s="67"/>
      <c r="X25" s="67"/>
      <c r="Y25" s="67"/>
      <c r="Z25" s="67"/>
      <c r="AA25" s="56"/>
    </row>
    <row r="26" spans="1:27" x14ac:dyDescent="0.2">
      <c r="A26" s="67"/>
      <c r="B26" s="67"/>
      <c r="C26" s="67"/>
      <c r="D26" s="67"/>
      <c r="E26" s="67"/>
      <c r="F26" s="67"/>
      <c r="G26" s="68"/>
      <c r="H26" s="67"/>
      <c r="I26" s="67"/>
      <c r="J26" s="67"/>
      <c r="K26" s="67"/>
      <c r="L26" s="67"/>
      <c r="M26" s="67"/>
      <c r="N26" s="67"/>
      <c r="O26" s="67"/>
      <c r="P26" s="67"/>
      <c r="Q26" s="67"/>
      <c r="R26" s="67"/>
      <c r="S26" s="67"/>
      <c r="T26" s="67"/>
      <c r="U26" s="67"/>
      <c r="V26" s="67"/>
      <c r="W26" s="67"/>
      <c r="X26" s="67"/>
      <c r="Y26" s="67"/>
      <c r="Z26" s="67"/>
      <c r="AA26" s="56"/>
    </row>
    <row r="27" spans="1:27" ht="16" thickBot="1" x14ac:dyDescent="0.25">
      <c r="A27" s="70" t="s">
        <v>127</v>
      </c>
      <c r="B27" s="67"/>
      <c r="C27" s="67"/>
      <c r="D27" s="67"/>
      <c r="E27" s="67"/>
      <c r="F27" s="67"/>
      <c r="G27" s="68"/>
      <c r="H27" s="67"/>
      <c r="I27" s="67"/>
      <c r="J27" s="67"/>
      <c r="K27" s="67"/>
      <c r="L27" s="67"/>
      <c r="M27" s="67"/>
      <c r="N27" s="67"/>
      <c r="O27" s="67"/>
      <c r="P27" s="67"/>
      <c r="Q27" s="67"/>
      <c r="R27" s="67"/>
      <c r="S27" s="67"/>
      <c r="T27" s="67"/>
      <c r="U27" s="67"/>
      <c r="V27" s="67"/>
      <c r="W27" s="67"/>
      <c r="X27" s="67"/>
      <c r="Y27" s="67"/>
      <c r="Z27" s="67"/>
      <c r="AA27" s="56"/>
    </row>
    <row r="28" spans="1:27" x14ac:dyDescent="0.2">
      <c r="A28" s="71"/>
      <c r="B28" s="72"/>
      <c r="C28" s="72"/>
      <c r="D28" s="72"/>
      <c r="E28" s="72"/>
      <c r="F28" s="72"/>
      <c r="G28" s="73" t="s">
        <v>488</v>
      </c>
      <c r="H28" s="116">
        <v>20</v>
      </c>
      <c r="I28" s="74" t="s">
        <v>13</v>
      </c>
      <c r="J28" s="67"/>
      <c r="K28" s="67"/>
      <c r="L28" s="67"/>
      <c r="M28" s="67"/>
      <c r="N28" s="67"/>
      <c r="O28" s="67"/>
      <c r="P28" s="67"/>
      <c r="Q28" s="67"/>
      <c r="R28" s="67"/>
      <c r="S28" s="67"/>
      <c r="T28" s="67"/>
      <c r="U28" s="67"/>
      <c r="V28" s="67"/>
      <c r="W28" s="67"/>
      <c r="X28" s="67"/>
      <c r="Y28" s="67"/>
      <c r="Z28" s="67"/>
      <c r="AA28" s="56"/>
    </row>
    <row r="29" spans="1:27" ht="17" x14ac:dyDescent="0.25">
      <c r="A29" s="75"/>
      <c r="B29" s="67"/>
      <c r="C29" s="67"/>
      <c r="D29" s="67"/>
      <c r="E29" s="67"/>
      <c r="F29" s="67"/>
      <c r="G29" s="68" t="s">
        <v>203</v>
      </c>
      <c r="H29" s="118">
        <f>Ipk_selected</f>
        <v>5.5973647058823532</v>
      </c>
      <c r="I29" s="77" t="s">
        <v>11</v>
      </c>
      <c r="J29" s="67"/>
      <c r="K29" s="67"/>
      <c r="L29" s="67"/>
      <c r="M29" s="67"/>
      <c r="N29" s="67"/>
      <c r="O29" s="67"/>
      <c r="P29" s="67"/>
      <c r="Q29" s="67"/>
      <c r="R29" s="67"/>
      <c r="S29" s="67"/>
      <c r="T29" s="67"/>
      <c r="U29" s="67"/>
      <c r="V29" s="67"/>
      <c r="W29" s="67"/>
      <c r="X29" s="67"/>
      <c r="Y29" s="67"/>
      <c r="Z29" s="67"/>
      <c r="AA29" s="56"/>
    </row>
    <row r="30" spans="1:27" ht="17" x14ac:dyDescent="0.25">
      <c r="A30" s="75"/>
      <c r="B30" s="67"/>
      <c r="C30" s="67"/>
      <c r="D30" s="67"/>
      <c r="E30" s="67"/>
      <c r="F30" s="67"/>
      <c r="G30" s="68" t="s">
        <v>493</v>
      </c>
      <c r="H30" s="118">
        <f>Variable_Management!B135*1000</f>
        <v>17.865550174872208</v>
      </c>
      <c r="I30" s="77" t="s">
        <v>105</v>
      </c>
      <c r="J30" s="67"/>
      <c r="K30" s="67"/>
      <c r="L30" s="67"/>
      <c r="M30" s="67"/>
      <c r="N30" s="67"/>
      <c r="O30" s="67"/>
      <c r="P30" s="67"/>
      <c r="Q30" s="67"/>
      <c r="R30" s="67"/>
      <c r="S30" s="67"/>
      <c r="T30" s="67"/>
      <c r="U30" s="67"/>
      <c r="V30" s="67"/>
      <c r="W30" s="67"/>
      <c r="X30" s="67"/>
      <c r="Y30" s="67"/>
      <c r="Z30" s="67"/>
      <c r="AA30" s="56"/>
    </row>
    <row r="31" spans="1:27" ht="17" x14ac:dyDescent="0.25">
      <c r="A31" s="75"/>
      <c r="B31" s="67"/>
      <c r="C31" s="67"/>
      <c r="D31" s="67"/>
      <c r="E31" s="67"/>
      <c r="F31" s="67"/>
      <c r="G31" s="68" t="s">
        <v>166</v>
      </c>
      <c r="H31" s="122">
        <f>Variable_Management!B136</f>
        <v>0</v>
      </c>
      <c r="I31" s="90" t="s">
        <v>36</v>
      </c>
      <c r="J31" s="67"/>
      <c r="K31" s="67"/>
      <c r="L31" s="67"/>
      <c r="M31" s="67"/>
      <c r="N31" s="67"/>
      <c r="O31" s="67"/>
      <c r="P31" s="67"/>
      <c r="Q31" s="67"/>
      <c r="R31" s="67"/>
      <c r="S31" s="67"/>
      <c r="T31" s="67"/>
      <c r="U31" s="67"/>
      <c r="V31" s="67"/>
      <c r="W31" s="67"/>
      <c r="X31" s="67"/>
      <c r="Y31" s="67"/>
      <c r="Z31" s="67"/>
      <c r="AA31" s="56"/>
    </row>
    <row r="32" spans="1:27" ht="17" x14ac:dyDescent="0.25">
      <c r="A32" s="75"/>
      <c r="B32" s="67"/>
      <c r="C32" s="67"/>
      <c r="D32" s="67"/>
      <c r="E32" s="67"/>
      <c r="F32" s="67"/>
      <c r="G32" s="68" t="s">
        <v>494</v>
      </c>
      <c r="H32" s="117">
        <v>47</v>
      </c>
      <c r="I32" s="77" t="s">
        <v>105</v>
      </c>
      <c r="J32" s="67"/>
      <c r="K32" s="67"/>
      <c r="L32" s="67"/>
      <c r="M32" s="67"/>
      <c r="N32" s="67"/>
      <c r="O32" s="67"/>
      <c r="P32" s="67"/>
      <c r="Q32" s="67"/>
      <c r="R32" s="67"/>
      <c r="S32" s="67"/>
      <c r="T32" s="67"/>
      <c r="U32" s="67"/>
      <c r="V32" s="67"/>
      <c r="W32" s="67"/>
      <c r="X32" s="67"/>
      <c r="Y32" s="67"/>
      <c r="Z32" s="67"/>
      <c r="AA32" s="56"/>
    </row>
    <row r="33" spans="1:27" ht="17" x14ac:dyDescent="0.25">
      <c r="A33" s="75"/>
      <c r="B33" s="67"/>
      <c r="C33" s="67"/>
      <c r="D33" s="67"/>
      <c r="E33" s="67"/>
      <c r="F33" s="67"/>
      <c r="G33" s="68" t="s">
        <v>169</v>
      </c>
      <c r="H33" s="117">
        <v>0</v>
      </c>
      <c r="I33" s="90" t="s">
        <v>36</v>
      </c>
      <c r="J33" s="67"/>
      <c r="K33" s="67"/>
      <c r="L33" s="67"/>
      <c r="M33" s="67"/>
      <c r="N33" s="67"/>
      <c r="O33" s="67"/>
      <c r="P33" s="67"/>
      <c r="Q33" s="67"/>
      <c r="R33" s="67"/>
      <c r="S33" s="67"/>
      <c r="T33" s="67"/>
      <c r="U33" s="67"/>
      <c r="V33" s="67"/>
      <c r="W33" s="67"/>
      <c r="X33" s="67"/>
      <c r="Y33" s="67"/>
      <c r="Z33" s="67"/>
      <c r="AA33" s="56"/>
    </row>
    <row r="34" spans="1:27" x14ac:dyDescent="0.2">
      <c r="A34" s="75"/>
      <c r="B34" s="67"/>
      <c r="C34" s="67"/>
      <c r="D34" s="67"/>
      <c r="E34" s="67"/>
      <c r="F34" s="67"/>
      <c r="G34" s="68" t="s">
        <v>173</v>
      </c>
      <c r="H34" s="118">
        <f>IL_pk_max</f>
        <v>2.1276595744680851</v>
      </c>
      <c r="I34" s="90" t="s">
        <v>11</v>
      </c>
      <c r="J34" s="67"/>
      <c r="K34" s="67"/>
      <c r="L34" s="67"/>
      <c r="M34" s="67"/>
      <c r="N34" s="67"/>
      <c r="O34" s="67"/>
      <c r="P34" s="67"/>
      <c r="Q34" s="67"/>
      <c r="R34" s="67"/>
      <c r="S34" s="67"/>
      <c r="T34" s="67"/>
      <c r="U34" s="67"/>
      <c r="V34" s="67"/>
      <c r="W34" s="67"/>
      <c r="X34" s="67"/>
      <c r="Y34" s="67"/>
      <c r="Z34" s="67"/>
      <c r="AA34" s="56"/>
    </row>
    <row r="35" spans="1:27" ht="16" thickBot="1" x14ac:dyDescent="0.25">
      <c r="A35" s="88"/>
      <c r="B35" s="83"/>
      <c r="C35" s="83"/>
      <c r="D35" s="83"/>
      <c r="E35" s="83"/>
      <c r="F35" s="83"/>
      <c r="G35" s="91" t="s">
        <v>191</v>
      </c>
      <c r="H35" s="123">
        <f>Variable_Management!B145</f>
        <v>2.4468085106382977</v>
      </c>
      <c r="I35" s="92" t="s">
        <v>11</v>
      </c>
      <c r="J35" s="67"/>
      <c r="K35" s="67"/>
      <c r="L35" s="67"/>
      <c r="M35" s="67"/>
      <c r="N35" s="67"/>
      <c r="O35" s="67"/>
      <c r="P35" s="67"/>
      <c r="Q35" s="67"/>
      <c r="R35" s="67"/>
      <c r="S35" s="67"/>
      <c r="T35" s="67"/>
      <c r="U35" s="67"/>
      <c r="V35" s="67"/>
      <c r="W35" s="67"/>
      <c r="X35" s="67"/>
      <c r="Y35" s="67"/>
      <c r="Z35" s="67"/>
      <c r="AA35" s="56"/>
    </row>
    <row r="36" spans="1:27" x14ac:dyDescent="0.2">
      <c r="A36" s="67"/>
      <c r="B36" s="67"/>
      <c r="C36" s="67"/>
      <c r="D36" s="67"/>
      <c r="E36" s="67"/>
      <c r="F36" s="67"/>
      <c r="G36" s="68"/>
      <c r="H36" s="67"/>
      <c r="I36" s="67"/>
      <c r="J36" s="67"/>
      <c r="K36" s="67"/>
      <c r="L36" s="67"/>
      <c r="M36" s="67"/>
      <c r="N36" s="67"/>
      <c r="O36" s="67"/>
      <c r="P36" s="67"/>
      <c r="Q36" s="67"/>
      <c r="R36" s="67"/>
      <c r="S36" s="67"/>
      <c r="T36" s="67"/>
      <c r="U36" s="67"/>
      <c r="V36" s="67"/>
      <c r="W36" s="67"/>
      <c r="X36" s="67"/>
      <c r="Y36" s="67"/>
      <c r="Z36" s="67"/>
      <c r="AA36" s="56"/>
    </row>
    <row r="37" spans="1:27" ht="16" thickBot="1" x14ac:dyDescent="0.25">
      <c r="A37" s="70" t="s">
        <v>185</v>
      </c>
      <c r="B37" s="67"/>
      <c r="C37" s="67"/>
      <c r="D37" s="67"/>
      <c r="E37" s="67"/>
      <c r="F37" s="67"/>
      <c r="G37" s="68"/>
      <c r="H37" s="67"/>
      <c r="I37" s="67"/>
      <c r="J37" s="67"/>
      <c r="K37" s="67"/>
      <c r="L37" s="67"/>
      <c r="M37" s="67"/>
      <c r="N37" s="67"/>
      <c r="O37" s="67"/>
      <c r="P37" s="67"/>
      <c r="Q37" s="67"/>
      <c r="R37" s="67"/>
      <c r="S37" s="67"/>
      <c r="T37" s="67"/>
      <c r="U37" s="67"/>
      <c r="V37" s="67"/>
      <c r="W37" s="67"/>
      <c r="X37" s="67"/>
      <c r="Y37" s="67"/>
      <c r="Z37" s="67"/>
      <c r="AA37" s="56"/>
    </row>
    <row r="38" spans="1:27" ht="17" x14ac:dyDescent="0.25">
      <c r="A38" s="71"/>
      <c r="B38" s="72"/>
      <c r="C38" s="72"/>
      <c r="D38" s="72"/>
      <c r="E38" s="72"/>
      <c r="F38" s="72"/>
      <c r="G38" s="93" t="s">
        <v>541</v>
      </c>
      <c r="H38" s="116">
        <v>100</v>
      </c>
      <c r="I38" s="74" t="s">
        <v>186</v>
      </c>
      <c r="J38" s="67"/>
      <c r="K38" s="67"/>
      <c r="L38" s="67"/>
      <c r="M38" s="67"/>
      <c r="N38" s="67"/>
      <c r="O38" s="67"/>
      <c r="P38" s="67"/>
      <c r="Q38" s="67"/>
      <c r="R38" s="67"/>
      <c r="S38" s="67"/>
      <c r="T38" s="67"/>
      <c r="U38" s="67"/>
      <c r="V38" s="67"/>
      <c r="W38" s="67"/>
      <c r="X38" s="67"/>
      <c r="Y38" s="67"/>
      <c r="Z38" s="67"/>
      <c r="AA38" s="56"/>
    </row>
    <row r="39" spans="1:27" x14ac:dyDescent="0.2">
      <c r="A39" s="75"/>
      <c r="B39" s="67"/>
      <c r="C39" s="67"/>
      <c r="D39" s="67"/>
      <c r="E39" s="67"/>
      <c r="F39" s="67"/>
      <c r="G39" s="68" t="s">
        <v>187</v>
      </c>
      <c r="H39" s="143">
        <f>Cout_min*10^6</f>
        <v>0.97176470588235309</v>
      </c>
      <c r="I39" s="77" t="s">
        <v>543</v>
      </c>
      <c r="J39" s="67"/>
      <c r="K39" s="67"/>
      <c r="L39" s="67"/>
      <c r="M39" s="67"/>
      <c r="N39" s="67"/>
      <c r="O39" s="67"/>
      <c r="P39" s="67"/>
      <c r="Q39" s="67"/>
      <c r="R39" s="67"/>
      <c r="S39" s="67"/>
      <c r="T39" s="67"/>
      <c r="U39" s="67"/>
      <c r="V39" s="67"/>
      <c r="W39" s="67"/>
      <c r="X39" s="67"/>
      <c r="Y39" s="67"/>
      <c r="Z39" s="67"/>
      <c r="AA39" s="56"/>
    </row>
    <row r="40" spans="1:27" ht="17" x14ac:dyDescent="0.25">
      <c r="A40" s="75"/>
      <c r="B40" s="67"/>
      <c r="C40" s="67"/>
      <c r="D40" s="67"/>
      <c r="E40" s="67"/>
      <c r="F40" s="67"/>
      <c r="G40" s="68" t="s">
        <v>195</v>
      </c>
      <c r="H40" s="118">
        <f>IRMS_COUT</f>
        <v>0.45630704783042925</v>
      </c>
      <c r="I40" s="77" t="s">
        <v>11</v>
      </c>
      <c r="J40" s="67"/>
      <c r="K40" s="67"/>
      <c r="L40" s="67"/>
      <c r="M40" s="67"/>
      <c r="N40" s="67"/>
      <c r="O40" s="67"/>
      <c r="P40" s="67"/>
      <c r="Q40" s="67"/>
      <c r="R40" s="67"/>
      <c r="S40" s="67"/>
      <c r="T40" s="67"/>
      <c r="U40" s="67"/>
      <c r="V40" s="67"/>
      <c r="W40" s="67"/>
      <c r="X40" s="67"/>
      <c r="Y40" s="67"/>
      <c r="Z40" s="67"/>
      <c r="AA40" s="56"/>
    </row>
    <row r="41" spans="1:27" ht="17" x14ac:dyDescent="0.25">
      <c r="A41" s="75"/>
      <c r="B41" s="67"/>
      <c r="C41" s="67"/>
      <c r="D41" s="67"/>
      <c r="E41" s="67"/>
      <c r="F41" s="67"/>
      <c r="G41" s="68" t="s">
        <v>188</v>
      </c>
      <c r="H41" s="117">
        <v>120</v>
      </c>
      <c r="I41" s="77" t="s">
        <v>543</v>
      </c>
      <c r="J41" s="67"/>
      <c r="K41" s="67"/>
      <c r="L41" s="67"/>
      <c r="M41" s="67"/>
      <c r="N41" s="67"/>
      <c r="O41" s="67"/>
      <c r="P41" s="67"/>
      <c r="Q41" s="67"/>
      <c r="R41" s="67"/>
      <c r="S41" s="67"/>
      <c r="T41" s="67"/>
      <c r="U41" s="67"/>
      <c r="V41" s="67"/>
      <c r="W41" s="67"/>
      <c r="X41" s="67"/>
      <c r="Y41" s="67"/>
      <c r="Z41" s="67"/>
      <c r="AA41" s="56"/>
    </row>
    <row r="42" spans="1:27" ht="18" thickBot="1" x14ac:dyDescent="0.3">
      <c r="A42" s="88"/>
      <c r="B42" s="83"/>
      <c r="C42" s="83"/>
      <c r="D42" s="83"/>
      <c r="E42" s="83"/>
      <c r="F42" s="83"/>
      <c r="G42" s="91" t="s">
        <v>198</v>
      </c>
      <c r="H42" s="124">
        <v>2</v>
      </c>
      <c r="I42" s="85" t="s">
        <v>105</v>
      </c>
      <c r="J42" s="67"/>
      <c r="K42" s="67"/>
      <c r="L42" s="67"/>
      <c r="M42" s="67"/>
      <c r="N42" s="67"/>
      <c r="O42" s="67"/>
      <c r="P42" s="67"/>
      <c r="Q42" s="67"/>
      <c r="R42" s="67"/>
      <c r="S42" s="67"/>
      <c r="T42" s="67"/>
      <c r="U42" s="67"/>
      <c r="V42" s="67"/>
      <c r="W42" s="67"/>
      <c r="X42" s="67"/>
      <c r="Y42" s="67"/>
      <c r="Z42" s="67"/>
      <c r="AA42" s="56"/>
    </row>
    <row r="43" spans="1:27" x14ac:dyDescent="0.2">
      <c r="A43" s="67"/>
      <c r="B43" s="67"/>
      <c r="C43" s="67"/>
      <c r="D43" s="67"/>
      <c r="E43" s="67"/>
      <c r="F43" s="67"/>
      <c r="G43" s="68"/>
      <c r="H43" s="67"/>
      <c r="I43" s="67"/>
      <c r="J43" s="67"/>
      <c r="K43" s="67"/>
      <c r="L43" s="67"/>
      <c r="M43" s="67"/>
      <c r="N43" s="67"/>
      <c r="O43" s="67"/>
      <c r="P43" s="67"/>
      <c r="Q43" s="67"/>
      <c r="R43" s="67"/>
      <c r="S43" s="67"/>
      <c r="T43" s="67"/>
      <c r="U43" s="67"/>
      <c r="V43" s="67"/>
      <c r="W43" s="67"/>
      <c r="X43" s="67"/>
      <c r="Y43" s="67"/>
      <c r="Z43" s="67"/>
      <c r="AA43" s="56"/>
    </row>
    <row r="44" spans="1:27" ht="16" thickBot="1" x14ac:dyDescent="0.25">
      <c r="A44" s="70" t="s">
        <v>319</v>
      </c>
      <c r="B44" s="67"/>
      <c r="C44" s="67"/>
      <c r="D44" s="67"/>
      <c r="E44" s="67"/>
      <c r="F44" s="67"/>
      <c r="G44" s="68"/>
      <c r="H44" s="67"/>
      <c r="I44" s="67"/>
      <c r="J44" s="67"/>
      <c r="K44" s="67"/>
      <c r="L44" s="67"/>
      <c r="M44" s="67"/>
      <c r="N44" s="67"/>
      <c r="O44" s="67"/>
      <c r="P44" s="67"/>
      <c r="Q44" s="67"/>
      <c r="R44" s="67"/>
      <c r="S44" s="67"/>
      <c r="T44" s="67"/>
      <c r="U44" s="67"/>
      <c r="V44" s="67"/>
      <c r="W44" s="67"/>
      <c r="X44" s="67"/>
      <c r="Y44" s="67"/>
      <c r="Z44" s="67"/>
      <c r="AA44" s="56"/>
    </row>
    <row r="45" spans="1:27" ht="17" x14ac:dyDescent="0.25">
      <c r="A45" s="71"/>
      <c r="B45" s="72"/>
      <c r="C45" s="72"/>
      <c r="D45" s="72"/>
      <c r="E45" s="72"/>
      <c r="F45" s="72"/>
      <c r="G45" s="93" t="s">
        <v>342</v>
      </c>
      <c r="H45" s="126">
        <f>Variable_Management!B161*(10^9)</f>
        <v>20399.999999999996</v>
      </c>
      <c r="I45" s="74" t="s">
        <v>218</v>
      </c>
      <c r="J45" s="67"/>
      <c r="K45" s="67"/>
      <c r="L45" s="67"/>
      <c r="M45" s="67"/>
      <c r="N45" s="67"/>
      <c r="O45" s="67"/>
      <c r="P45" s="67"/>
      <c r="Q45" s="67"/>
      <c r="R45" s="67"/>
      <c r="S45" s="67"/>
      <c r="T45" s="67"/>
      <c r="U45" s="67"/>
      <c r="V45" s="67"/>
      <c r="W45" s="67"/>
      <c r="X45" s="67"/>
      <c r="Y45" s="67"/>
      <c r="Z45" s="67"/>
      <c r="AA45" s="56"/>
    </row>
    <row r="46" spans="1:27" ht="17" x14ac:dyDescent="0.25">
      <c r="A46" s="75"/>
      <c r="B46" s="67"/>
      <c r="C46" s="67"/>
      <c r="D46" s="67"/>
      <c r="E46" s="67"/>
      <c r="F46" s="67"/>
      <c r="G46" s="68" t="s">
        <v>529</v>
      </c>
      <c r="H46" s="117">
        <v>500</v>
      </c>
      <c r="I46" s="77" t="s">
        <v>343</v>
      </c>
      <c r="J46" s="67"/>
      <c r="K46" s="67"/>
      <c r="L46" s="67"/>
      <c r="M46" s="67"/>
      <c r="N46" s="67"/>
      <c r="O46" s="67"/>
      <c r="P46" s="67"/>
      <c r="Q46" s="67"/>
      <c r="R46" s="67"/>
      <c r="S46" s="67"/>
      <c r="T46" s="67"/>
      <c r="U46" s="67"/>
      <c r="V46" s="67"/>
      <c r="W46" s="67"/>
      <c r="X46" s="67"/>
      <c r="Y46" s="67"/>
      <c r="Z46" s="67"/>
      <c r="AA46" s="56"/>
    </row>
    <row r="47" spans="1:27" ht="18" thickBot="1" x14ac:dyDescent="0.3">
      <c r="A47" s="88"/>
      <c r="B47" s="83"/>
      <c r="C47" s="83"/>
      <c r="D47" s="83"/>
      <c r="E47" s="83"/>
      <c r="F47" s="83"/>
      <c r="G47" s="91" t="s">
        <v>346</v>
      </c>
      <c r="H47" s="127">
        <f>Variable_Management!B163*(10^9)</f>
        <v>5145.2784503631947</v>
      </c>
      <c r="I47" s="85" t="s">
        <v>218</v>
      </c>
      <c r="J47" s="67"/>
      <c r="K47" s="67"/>
      <c r="L47" s="67"/>
      <c r="M47" s="67"/>
      <c r="N47" s="67"/>
      <c r="O47" s="67"/>
      <c r="P47" s="67"/>
      <c r="Q47" s="67"/>
      <c r="R47" s="67"/>
      <c r="S47" s="67"/>
      <c r="T47" s="67"/>
      <c r="U47" s="67"/>
      <c r="V47" s="67"/>
      <c r="W47" s="67"/>
      <c r="X47" s="67"/>
      <c r="Y47" s="67"/>
      <c r="Z47" s="67"/>
      <c r="AA47" s="56"/>
    </row>
    <row r="48" spans="1:27" x14ac:dyDescent="0.2">
      <c r="A48" s="67"/>
      <c r="B48" s="67"/>
      <c r="C48" s="67"/>
      <c r="D48" s="67"/>
      <c r="E48" s="67"/>
      <c r="F48" s="67"/>
      <c r="G48" s="68"/>
      <c r="H48" s="67"/>
      <c r="I48" s="67"/>
      <c r="J48" s="67"/>
      <c r="K48" s="67"/>
      <c r="L48" s="67"/>
      <c r="M48" s="67"/>
      <c r="N48" s="67"/>
      <c r="O48" s="67"/>
      <c r="P48" s="67"/>
      <c r="Q48" s="67"/>
      <c r="R48" s="67"/>
      <c r="S48" s="67"/>
      <c r="T48" s="67"/>
      <c r="U48" s="67"/>
      <c r="V48" s="67"/>
      <c r="W48" s="67"/>
      <c r="X48" s="67"/>
      <c r="Y48" s="67"/>
      <c r="Z48" s="67"/>
      <c r="AA48" s="56"/>
    </row>
    <row r="49" spans="1:27" ht="16" thickBot="1" x14ac:dyDescent="0.25">
      <c r="A49" s="70" t="s">
        <v>320</v>
      </c>
      <c r="B49" s="67"/>
      <c r="C49" s="67"/>
      <c r="D49" s="67"/>
      <c r="E49" s="67"/>
      <c r="F49" s="67"/>
      <c r="G49" s="68"/>
      <c r="H49" s="67"/>
      <c r="I49" s="67"/>
      <c r="J49" s="67"/>
      <c r="K49" s="67"/>
      <c r="L49" s="67"/>
      <c r="M49" s="67"/>
      <c r="N49" s="67"/>
      <c r="O49" s="67"/>
      <c r="P49" s="67"/>
      <c r="Q49" s="67"/>
      <c r="R49" s="67"/>
      <c r="S49" s="67"/>
      <c r="T49" s="67"/>
      <c r="U49" s="67"/>
      <c r="V49" s="67"/>
      <c r="W49" s="67"/>
      <c r="X49" s="67"/>
      <c r="Y49" s="67"/>
      <c r="Z49" s="67"/>
      <c r="AA49" s="56"/>
    </row>
    <row r="50" spans="1:27" ht="17" x14ac:dyDescent="0.25">
      <c r="A50" s="71"/>
      <c r="B50" s="72"/>
      <c r="C50" s="72"/>
      <c r="D50" s="72"/>
      <c r="E50" s="72"/>
      <c r="F50" s="72"/>
      <c r="G50" s="93" t="s">
        <v>348</v>
      </c>
      <c r="H50" s="116">
        <v>4.5</v>
      </c>
      <c r="I50" s="74" t="s">
        <v>10</v>
      </c>
      <c r="J50" s="67"/>
      <c r="K50" s="67"/>
      <c r="L50" s="67"/>
      <c r="M50" s="67"/>
      <c r="N50" s="67"/>
      <c r="O50" s="67"/>
      <c r="P50" s="67"/>
      <c r="Q50" s="67"/>
      <c r="R50" s="67"/>
      <c r="S50" s="67"/>
      <c r="T50" s="67"/>
      <c r="U50" s="67"/>
      <c r="V50" s="67"/>
      <c r="W50" s="67"/>
      <c r="X50" s="67"/>
      <c r="Y50" s="67"/>
      <c r="Z50" s="67"/>
      <c r="AA50" s="56"/>
    </row>
    <row r="51" spans="1:27" ht="17" x14ac:dyDescent="0.25">
      <c r="A51" s="75"/>
      <c r="B51" s="67"/>
      <c r="C51" s="67"/>
      <c r="D51" s="67"/>
      <c r="E51" s="67"/>
      <c r="F51" s="67"/>
      <c r="G51" s="68" t="s">
        <v>347</v>
      </c>
      <c r="H51" s="117">
        <v>4.0999999999999996</v>
      </c>
      <c r="I51" s="77" t="s">
        <v>10</v>
      </c>
      <c r="J51" s="67"/>
      <c r="K51" s="67"/>
      <c r="L51" s="67"/>
      <c r="M51" s="67"/>
      <c r="N51" s="67"/>
      <c r="O51" s="67"/>
      <c r="P51" s="67"/>
      <c r="Q51" s="115">
        <f>VIN_min</f>
        <v>4.8</v>
      </c>
      <c r="R51" s="67"/>
      <c r="S51" s="67"/>
      <c r="T51" s="67"/>
      <c r="U51" s="67"/>
      <c r="V51" s="67"/>
      <c r="W51" s="67"/>
      <c r="X51" s="67"/>
      <c r="Y51" s="67"/>
      <c r="Z51" s="67"/>
      <c r="AA51" s="56"/>
    </row>
    <row r="52" spans="1:27" ht="17" x14ac:dyDescent="0.25">
      <c r="A52" s="75"/>
      <c r="B52" s="67"/>
      <c r="C52" s="67"/>
      <c r="D52" s="67"/>
      <c r="E52" s="67"/>
      <c r="F52" s="67"/>
      <c r="G52" s="68" t="s">
        <v>463</v>
      </c>
      <c r="H52" s="125">
        <f>Ruvlo_top_calc/1000</f>
        <v>50.300000000000011</v>
      </c>
      <c r="I52" s="90" t="s">
        <v>215</v>
      </c>
      <c r="J52" s="67"/>
      <c r="K52" s="67"/>
      <c r="L52" s="67"/>
      <c r="M52" s="67"/>
      <c r="N52" s="67"/>
      <c r="O52" s="67"/>
      <c r="P52" s="67"/>
      <c r="Q52" s="67"/>
      <c r="R52" s="67"/>
      <c r="S52" s="67"/>
      <c r="T52" s="67"/>
      <c r="U52" s="67"/>
      <c r="V52" s="67"/>
      <c r="W52" s="67"/>
      <c r="X52" s="67"/>
      <c r="Y52" s="67"/>
      <c r="Z52" s="67"/>
      <c r="AA52" s="56"/>
    </row>
    <row r="53" spans="1:27" ht="17" x14ac:dyDescent="0.25">
      <c r="A53" s="75"/>
      <c r="B53" s="67"/>
      <c r="C53" s="67"/>
      <c r="D53" s="67"/>
      <c r="E53" s="67"/>
      <c r="F53" s="67"/>
      <c r="G53" s="68" t="s">
        <v>464</v>
      </c>
      <c r="H53" s="117">
        <v>15</v>
      </c>
      <c r="I53" s="90" t="s">
        <v>215</v>
      </c>
      <c r="J53" s="67"/>
      <c r="K53" s="67"/>
      <c r="L53" s="67"/>
      <c r="M53" s="67"/>
      <c r="N53" s="67"/>
      <c r="O53" s="67"/>
      <c r="P53" s="67"/>
      <c r="Q53" s="67"/>
      <c r="R53" s="67"/>
      <c r="S53" s="67"/>
      <c r="T53" s="67"/>
      <c r="U53" s="67"/>
      <c r="V53" s="67"/>
      <c r="W53" s="67"/>
      <c r="X53" s="67"/>
      <c r="Y53" s="67"/>
      <c r="Z53" s="67"/>
      <c r="AA53" s="56"/>
    </row>
    <row r="54" spans="1:27" ht="18" thickBot="1" x14ac:dyDescent="0.3">
      <c r="A54" s="88"/>
      <c r="B54" s="83"/>
      <c r="C54" s="83"/>
      <c r="D54" s="83"/>
      <c r="E54" s="83"/>
      <c r="F54" s="83"/>
      <c r="G54" s="91" t="s">
        <v>465</v>
      </c>
      <c r="H54" s="219">
        <f>IF(Ruvlo_bottom_calc/1000=0,"NA",Ruvlo_bottom_calc/1000)</f>
        <v>7.5</v>
      </c>
      <c r="I54" s="92" t="s">
        <v>215</v>
      </c>
      <c r="J54" s="67"/>
      <c r="K54" s="67"/>
      <c r="L54" s="67"/>
      <c r="M54" s="67"/>
      <c r="N54" s="67"/>
      <c r="O54" s="67"/>
      <c r="P54" s="67"/>
      <c r="Q54" s="67"/>
      <c r="R54" s="67"/>
      <c r="S54" s="67"/>
      <c r="T54" s="67"/>
      <c r="U54" s="67"/>
      <c r="V54" s="67"/>
      <c r="W54" s="67"/>
      <c r="X54" s="67"/>
      <c r="Y54" s="67"/>
      <c r="Z54" s="67"/>
      <c r="AA54" s="56"/>
    </row>
    <row r="55" spans="1:27" x14ac:dyDescent="0.2">
      <c r="A55" s="67"/>
      <c r="B55" s="67"/>
      <c r="C55" s="67"/>
      <c r="D55" s="67"/>
      <c r="E55" s="67"/>
      <c r="F55" s="67"/>
      <c r="G55" s="68"/>
      <c r="H55" s="67"/>
      <c r="I55" s="67"/>
      <c r="J55" s="67"/>
      <c r="K55" s="67"/>
      <c r="L55" s="67"/>
      <c r="M55" s="67"/>
      <c r="N55" s="67"/>
      <c r="O55" s="67"/>
      <c r="P55" s="67"/>
      <c r="Q55" s="67"/>
      <c r="R55" s="67"/>
      <c r="S55" s="67"/>
      <c r="T55" s="67"/>
      <c r="U55" s="67"/>
      <c r="V55" s="67"/>
      <c r="W55" s="67"/>
      <c r="X55" s="67"/>
      <c r="Y55" s="67"/>
      <c r="Z55" s="67"/>
      <c r="AA55" s="56"/>
    </row>
    <row r="56" spans="1:27" ht="16" thickBot="1" x14ac:dyDescent="0.25">
      <c r="A56" s="70" t="s">
        <v>371</v>
      </c>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56"/>
    </row>
    <row r="57" spans="1:27" ht="17" x14ac:dyDescent="0.25">
      <c r="A57" s="94"/>
      <c r="B57" s="72"/>
      <c r="C57" s="72"/>
      <c r="D57" s="72"/>
      <c r="E57" s="72"/>
      <c r="F57" s="72"/>
      <c r="G57" s="95" t="s">
        <v>489</v>
      </c>
      <c r="H57" s="128" t="str">
        <f>VIN_nom&amp;"V"</f>
        <v>5V</v>
      </c>
      <c r="I57" s="74"/>
      <c r="J57" s="67"/>
      <c r="K57" s="67"/>
      <c r="L57" s="67"/>
      <c r="M57" s="67"/>
      <c r="N57" s="67"/>
      <c r="O57" s="67"/>
      <c r="P57" s="67"/>
      <c r="Q57" s="67"/>
      <c r="R57" s="67"/>
      <c r="S57" s="67"/>
      <c r="T57" s="67"/>
      <c r="U57" s="67"/>
      <c r="V57" s="67"/>
      <c r="W57" s="67"/>
      <c r="X57" s="67"/>
      <c r="Y57" s="67"/>
      <c r="Z57" s="67"/>
      <c r="AA57" s="56"/>
    </row>
    <row r="58" spans="1:27" x14ac:dyDescent="0.2">
      <c r="A58" s="75"/>
      <c r="B58" s="67"/>
      <c r="C58" s="67"/>
      <c r="D58" s="67"/>
      <c r="E58" s="67"/>
      <c r="F58" s="67"/>
      <c r="G58" s="67"/>
      <c r="H58" s="129"/>
      <c r="I58" s="77"/>
      <c r="J58" s="67"/>
      <c r="K58" s="67"/>
      <c r="L58" s="67"/>
      <c r="M58" s="67"/>
      <c r="N58" s="67"/>
      <c r="O58" s="67"/>
      <c r="P58" s="67"/>
      <c r="Q58" s="67"/>
      <c r="R58" s="67"/>
      <c r="S58" s="67"/>
      <c r="T58" s="67"/>
      <c r="U58" s="67"/>
      <c r="V58" s="67"/>
      <c r="W58" s="67"/>
      <c r="X58" s="67"/>
      <c r="Y58" s="67"/>
      <c r="Z58" s="67"/>
      <c r="AA58" s="56"/>
    </row>
    <row r="59" spans="1:27" x14ac:dyDescent="0.2">
      <c r="A59" s="96"/>
      <c r="B59" s="67"/>
      <c r="C59" s="67"/>
      <c r="D59" s="67"/>
      <c r="E59" s="67"/>
      <c r="F59" s="67"/>
      <c r="G59" s="97" t="s">
        <v>216</v>
      </c>
      <c r="H59" s="119"/>
      <c r="I59" s="77"/>
      <c r="J59" s="67"/>
      <c r="K59" s="67"/>
      <c r="L59" s="67"/>
      <c r="M59" s="67"/>
      <c r="N59" s="67"/>
      <c r="O59" s="67"/>
      <c r="P59" s="67"/>
      <c r="Q59" s="67"/>
      <c r="R59" s="67"/>
      <c r="S59" s="67"/>
      <c r="T59" s="67"/>
      <c r="U59" s="67"/>
      <c r="V59" s="67"/>
      <c r="W59" s="67"/>
      <c r="X59" s="67"/>
      <c r="Y59" s="67"/>
      <c r="Z59" s="67"/>
      <c r="AA59" s="56"/>
    </row>
    <row r="60" spans="1:27" ht="17" x14ac:dyDescent="0.25">
      <c r="A60" s="96"/>
      <c r="B60" s="67"/>
      <c r="C60" s="67"/>
      <c r="D60" s="67"/>
      <c r="E60" s="67"/>
      <c r="F60" s="67"/>
      <c r="G60" s="68" t="s">
        <v>318</v>
      </c>
      <c r="H60" s="117">
        <v>50</v>
      </c>
      <c r="I60" s="90" t="s">
        <v>215</v>
      </c>
      <c r="J60" s="67"/>
      <c r="K60" s="67"/>
      <c r="L60" s="67"/>
      <c r="M60" s="67"/>
      <c r="N60" s="67"/>
      <c r="O60" s="67"/>
      <c r="P60" s="67"/>
      <c r="Q60" s="67"/>
      <c r="R60" s="67"/>
      <c r="S60" s="67"/>
      <c r="T60" s="67"/>
      <c r="U60" s="67"/>
      <c r="V60" s="67"/>
      <c r="W60" s="67"/>
      <c r="X60" s="67"/>
      <c r="Y60" s="67"/>
      <c r="Z60" s="67"/>
      <c r="AA60" s="56"/>
    </row>
    <row r="61" spans="1:27" ht="17" x14ac:dyDescent="0.25">
      <c r="A61" s="96"/>
      <c r="B61" s="67"/>
      <c r="C61" s="67"/>
      <c r="D61" s="67"/>
      <c r="E61" s="67"/>
      <c r="F61" s="67"/>
      <c r="G61" s="68" t="s">
        <v>294</v>
      </c>
      <c r="H61" s="125">
        <f>RFBB_calc/1000</f>
        <v>0.29585798816568049</v>
      </c>
      <c r="I61" s="90" t="s">
        <v>215</v>
      </c>
      <c r="J61" s="67"/>
      <c r="K61" s="67"/>
      <c r="L61" s="67"/>
      <c r="M61" s="67"/>
      <c r="N61" s="67"/>
      <c r="O61" s="67"/>
      <c r="P61" s="67"/>
      <c r="Q61" s="67"/>
      <c r="R61" s="67"/>
      <c r="S61" s="67"/>
      <c r="T61" s="67"/>
      <c r="U61" s="67"/>
      <c r="V61" s="67"/>
      <c r="W61" s="67"/>
      <c r="X61" s="67"/>
      <c r="Y61" s="67"/>
      <c r="Z61" s="67"/>
      <c r="AA61" s="56"/>
    </row>
    <row r="62" spans="1:27" ht="17" x14ac:dyDescent="0.25">
      <c r="A62" s="96"/>
      <c r="B62" s="67"/>
      <c r="C62" s="67"/>
      <c r="D62" s="67"/>
      <c r="E62" s="67"/>
      <c r="F62" s="67"/>
      <c r="G62" s="68" t="s">
        <v>530</v>
      </c>
      <c r="H62" s="117">
        <v>0.3</v>
      </c>
      <c r="I62" s="90" t="s">
        <v>215</v>
      </c>
      <c r="J62" s="67"/>
      <c r="K62" s="67"/>
      <c r="L62" s="67"/>
      <c r="M62" s="67"/>
      <c r="N62" s="67"/>
      <c r="O62" s="67"/>
      <c r="P62" s="67"/>
      <c r="Q62" s="67"/>
      <c r="R62" s="67"/>
      <c r="S62" s="67"/>
      <c r="T62" s="67"/>
      <c r="U62" s="67"/>
      <c r="V62" s="67"/>
      <c r="W62" s="67"/>
      <c r="X62" s="67"/>
      <c r="Y62" s="67"/>
      <c r="Z62" s="67"/>
      <c r="AA62" s="56"/>
    </row>
    <row r="63" spans="1:27" x14ac:dyDescent="0.2">
      <c r="A63" s="75"/>
      <c r="B63" s="67"/>
      <c r="C63" s="67"/>
      <c r="D63" s="67"/>
      <c r="E63" s="67"/>
      <c r="F63" s="67"/>
      <c r="G63" s="68"/>
      <c r="H63" s="119"/>
      <c r="I63" s="77"/>
      <c r="J63" s="67"/>
      <c r="K63" s="67"/>
      <c r="L63" s="67"/>
      <c r="M63" s="67"/>
      <c r="N63" s="67"/>
      <c r="O63" s="67"/>
      <c r="P63" s="67"/>
      <c r="Q63" s="67"/>
      <c r="R63" s="67"/>
      <c r="S63" s="67"/>
      <c r="T63" s="67"/>
      <c r="U63" s="67"/>
      <c r="V63" s="67"/>
      <c r="W63" s="67"/>
      <c r="X63" s="67"/>
      <c r="Y63" s="67"/>
      <c r="Z63" s="67"/>
      <c r="AA63" s="56"/>
    </row>
    <row r="64" spans="1:27" x14ac:dyDescent="0.2">
      <c r="A64" s="75"/>
      <c r="B64" s="67"/>
      <c r="C64" s="67"/>
      <c r="D64" s="67"/>
      <c r="E64" s="67"/>
      <c r="F64" s="67"/>
      <c r="G64" s="68"/>
      <c r="H64" s="119"/>
      <c r="I64" s="77"/>
      <c r="J64" s="67"/>
      <c r="K64" s="67"/>
      <c r="L64" s="67"/>
      <c r="M64" s="67"/>
      <c r="N64" s="67"/>
      <c r="O64" s="67"/>
      <c r="P64" s="67"/>
      <c r="Q64" s="67"/>
      <c r="R64" s="67"/>
      <c r="S64" s="67"/>
      <c r="T64" s="67"/>
      <c r="U64" s="67"/>
      <c r="V64" s="67"/>
      <c r="W64" s="67"/>
      <c r="X64" s="67"/>
      <c r="Y64" s="67"/>
      <c r="Z64" s="67"/>
      <c r="AA64" s="56"/>
    </row>
    <row r="65" spans="1:27" x14ac:dyDescent="0.2">
      <c r="A65" s="75"/>
      <c r="B65" s="67"/>
      <c r="C65" s="67"/>
      <c r="D65" s="67"/>
      <c r="E65" s="67"/>
      <c r="F65" s="67"/>
      <c r="G65" s="68" t="s">
        <v>550</v>
      </c>
      <c r="H65" s="220">
        <f>fcross_est/1000</f>
        <v>10</v>
      </c>
      <c r="I65" s="77" t="s">
        <v>12</v>
      </c>
      <c r="J65" s="67"/>
      <c r="K65" s="67"/>
      <c r="L65" s="67"/>
      <c r="M65" s="67"/>
      <c r="N65" s="67"/>
      <c r="O65" s="67"/>
      <c r="P65" s="67"/>
      <c r="Q65" s="67"/>
      <c r="R65" s="67"/>
      <c r="S65" s="67"/>
      <c r="T65" s="67"/>
      <c r="U65" s="67"/>
      <c r="V65" s="67"/>
      <c r="W65" s="67"/>
      <c r="X65" s="67"/>
      <c r="Y65" s="67"/>
      <c r="Z65" s="67"/>
      <c r="AA65" s="56"/>
    </row>
    <row r="66" spans="1:27" ht="17" x14ac:dyDescent="0.25">
      <c r="A66" s="75"/>
      <c r="B66" s="67"/>
      <c r="C66" s="67"/>
      <c r="D66" s="67"/>
      <c r="E66" s="67"/>
      <c r="F66" s="67"/>
      <c r="G66" s="68" t="s">
        <v>551</v>
      </c>
      <c r="H66" s="117">
        <v>1</v>
      </c>
      <c r="I66" s="77" t="s">
        <v>12</v>
      </c>
      <c r="J66" s="67"/>
      <c r="K66" s="67"/>
      <c r="L66" s="67"/>
      <c r="M66" s="67"/>
      <c r="N66" s="67"/>
      <c r="O66" s="67"/>
      <c r="P66" s="67"/>
      <c r="Q66" s="67"/>
      <c r="R66" s="67"/>
      <c r="S66" s="67"/>
      <c r="T66" s="67"/>
      <c r="U66" s="67"/>
      <c r="V66" s="67"/>
      <c r="W66" s="67"/>
      <c r="X66" s="67"/>
      <c r="Y66" s="67"/>
      <c r="Z66" s="67"/>
      <c r="AA66" s="56"/>
    </row>
    <row r="67" spans="1:27" x14ac:dyDescent="0.2">
      <c r="A67" s="75"/>
      <c r="B67" s="67"/>
      <c r="C67" s="67"/>
      <c r="D67" s="67"/>
      <c r="E67" s="67"/>
      <c r="F67" s="67"/>
      <c r="G67" s="68"/>
      <c r="H67" s="119"/>
      <c r="I67" s="77"/>
      <c r="J67" s="67"/>
      <c r="K67" s="67"/>
      <c r="L67" s="67" t="str">
        <f>Loop_Modeling!A68</f>
        <v>Crossover Frequency = 3.1 kHz</v>
      </c>
      <c r="M67" s="67"/>
      <c r="N67" s="67"/>
      <c r="O67" s="67"/>
      <c r="P67" s="67"/>
      <c r="Q67" s="67"/>
      <c r="R67" s="67"/>
      <c r="S67" s="67"/>
      <c r="T67" s="67"/>
      <c r="U67" s="67"/>
      <c r="V67" s="67"/>
      <c r="W67" s="67"/>
      <c r="X67" s="67"/>
      <c r="Y67" s="67"/>
      <c r="Z67" s="67"/>
      <c r="AA67" s="56"/>
    </row>
    <row r="68" spans="1:27" ht="16" thickBot="1" x14ac:dyDescent="0.25">
      <c r="A68" s="75"/>
      <c r="B68" s="67"/>
      <c r="C68" s="67"/>
      <c r="D68" s="67"/>
      <c r="E68" s="67"/>
      <c r="F68" s="99" t="s">
        <v>323</v>
      </c>
      <c r="G68" s="99"/>
      <c r="H68" s="130" t="s">
        <v>324</v>
      </c>
      <c r="I68" s="100"/>
      <c r="J68" s="67"/>
      <c r="K68" s="67"/>
      <c r="L68" s="67" t="str">
        <f>Loop_Modeling!A69</f>
        <v>Phase Margin = 89°</v>
      </c>
      <c r="M68" s="67"/>
      <c r="N68" s="67"/>
      <c r="O68" s="67"/>
      <c r="P68" s="67"/>
      <c r="Q68" s="67"/>
      <c r="R68" s="67"/>
      <c r="S68" s="67"/>
      <c r="T68" s="67"/>
      <c r="U68" s="67"/>
      <c r="V68" s="67"/>
      <c r="W68" s="67"/>
      <c r="X68" s="67"/>
      <c r="Y68" s="67"/>
      <c r="Z68" s="67"/>
      <c r="AA68" s="56"/>
    </row>
    <row r="69" spans="1:27" ht="18" thickBot="1" x14ac:dyDescent="0.3">
      <c r="A69" s="75"/>
      <c r="B69" s="67"/>
      <c r="C69" s="67"/>
      <c r="D69" s="67"/>
      <c r="E69" s="68" t="s">
        <v>322</v>
      </c>
      <c r="F69" s="141">
        <f>Rcomp_calc/1000</f>
        <v>725.64194177679099</v>
      </c>
      <c r="G69" s="135" t="s">
        <v>215</v>
      </c>
      <c r="H69" s="132">
        <v>2200</v>
      </c>
      <c r="I69" s="90" t="s">
        <v>215</v>
      </c>
      <c r="J69" s="67"/>
      <c r="K69" s="67"/>
      <c r="L69" s="67"/>
      <c r="M69" s="67"/>
      <c r="N69" s="67"/>
      <c r="O69" s="67"/>
      <c r="P69" s="67"/>
      <c r="Q69" s="67"/>
      <c r="R69" s="67"/>
      <c r="S69" s="67"/>
      <c r="T69" s="67"/>
      <c r="U69" s="67"/>
      <c r="V69" s="67"/>
      <c r="W69" s="67"/>
      <c r="X69" s="67"/>
      <c r="Y69" s="67"/>
      <c r="Z69" s="67"/>
      <c r="AA69" s="56"/>
    </row>
    <row r="70" spans="1:27" ht="18" thickBot="1" x14ac:dyDescent="0.3">
      <c r="A70" s="75"/>
      <c r="B70" s="67"/>
      <c r="C70" s="67"/>
      <c r="D70" s="67"/>
      <c r="E70" s="68" t="s">
        <v>448</v>
      </c>
      <c r="F70" s="133">
        <f>CComp_calc*(10^9)</f>
        <v>17.55851467453008</v>
      </c>
      <c r="G70" s="135" t="s">
        <v>218</v>
      </c>
      <c r="H70" s="132">
        <v>5.6</v>
      </c>
      <c r="I70" s="77" t="s">
        <v>218</v>
      </c>
      <c r="J70" s="67"/>
      <c r="K70" s="67"/>
      <c r="L70" s="67"/>
      <c r="M70" s="67"/>
      <c r="N70" s="67"/>
      <c r="O70" s="67"/>
      <c r="P70" s="67"/>
      <c r="Q70" s="67"/>
      <c r="R70" s="67"/>
      <c r="S70" s="67"/>
      <c r="T70" s="67"/>
      <c r="U70" s="67"/>
      <c r="V70" s="67"/>
      <c r="W70" s="67"/>
      <c r="X70" s="67"/>
      <c r="Y70" s="67"/>
      <c r="Z70" s="67"/>
      <c r="AA70" s="56"/>
    </row>
    <row r="71" spans="1:27" ht="18" thickBot="1" x14ac:dyDescent="0.3">
      <c r="A71" s="88"/>
      <c r="B71" s="83"/>
      <c r="C71" s="83"/>
      <c r="D71" s="83"/>
      <c r="E71" s="91" t="s">
        <v>449</v>
      </c>
      <c r="F71" s="131">
        <f>Variable_Management!B231*(10^12)</f>
        <v>1.0168788643766515</v>
      </c>
      <c r="G71" s="136" t="s">
        <v>217</v>
      </c>
      <c r="H71" s="124">
        <v>2.2000000000000002</v>
      </c>
      <c r="I71" s="85" t="s">
        <v>217</v>
      </c>
      <c r="J71" s="67"/>
      <c r="K71" s="67"/>
      <c r="L71" s="67"/>
      <c r="M71" s="67"/>
      <c r="N71" s="67"/>
      <c r="O71" s="67"/>
      <c r="P71" s="67"/>
      <c r="Q71" s="67"/>
      <c r="R71" s="67"/>
      <c r="S71" s="67"/>
      <c r="T71" s="67"/>
      <c r="U71" s="67"/>
      <c r="V71" s="67"/>
      <c r="W71" s="67"/>
      <c r="X71" s="67"/>
      <c r="Y71" s="67"/>
      <c r="Z71" s="67"/>
      <c r="AA71" s="56"/>
    </row>
    <row r="72" spans="1:27" x14ac:dyDescent="0.2">
      <c r="A72" s="67"/>
      <c r="B72" s="67"/>
      <c r="C72" s="67"/>
      <c r="D72" s="67"/>
      <c r="E72" s="68"/>
      <c r="F72" s="101"/>
      <c r="G72" s="68"/>
      <c r="H72" s="98"/>
      <c r="I72" s="67"/>
      <c r="J72" s="67"/>
      <c r="K72" s="67"/>
      <c r="L72" s="67"/>
      <c r="M72" s="67"/>
      <c r="N72" s="67"/>
      <c r="O72" s="67"/>
      <c r="P72" s="67"/>
      <c r="Q72" s="67"/>
      <c r="R72" s="67"/>
      <c r="S72" s="67"/>
      <c r="T72" s="67"/>
      <c r="U72" s="67"/>
      <c r="V72" s="67"/>
      <c r="W72" s="67"/>
      <c r="X72" s="67"/>
      <c r="Y72" s="67"/>
      <c r="Z72" s="67"/>
      <c r="AA72" s="56"/>
    </row>
    <row r="73" spans="1:27" ht="24" x14ac:dyDescent="0.3">
      <c r="A73" s="102" t="s">
        <v>321</v>
      </c>
      <c r="B73" s="103"/>
      <c r="C73" s="103"/>
      <c r="D73" s="103"/>
      <c r="E73" s="103"/>
      <c r="F73" s="103"/>
      <c r="G73" s="104"/>
      <c r="H73" s="103"/>
      <c r="I73" s="103"/>
      <c r="J73" s="103"/>
      <c r="K73" s="103"/>
      <c r="L73" s="103"/>
      <c r="M73" s="103"/>
      <c r="N73" s="103"/>
      <c r="O73" s="103"/>
      <c r="P73" s="103"/>
      <c r="Q73" s="103"/>
      <c r="R73" s="103"/>
      <c r="S73" s="103"/>
      <c r="T73" s="105"/>
      <c r="U73" s="105"/>
      <c r="V73" s="105"/>
      <c r="W73" s="105"/>
      <c r="X73" s="105"/>
      <c r="Y73" s="105"/>
      <c r="Z73" s="105"/>
    </row>
    <row r="74" spans="1:27"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56"/>
    </row>
    <row r="75" spans="1:27" ht="16" thickBot="1" x14ac:dyDescent="0.25">
      <c r="A75" s="106" t="s">
        <v>399</v>
      </c>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56"/>
    </row>
    <row r="76" spans="1:27" x14ac:dyDescent="0.2">
      <c r="A76" s="71"/>
      <c r="B76" s="72"/>
      <c r="C76" s="72"/>
      <c r="D76" s="72"/>
      <c r="E76" s="72"/>
      <c r="F76" s="72"/>
      <c r="G76" s="107" t="s">
        <v>387</v>
      </c>
      <c r="H76" s="116">
        <v>11.7</v>
      </c>
      <c r="I76" s="108" t="s">
        <v>394</v>
      </c>
      <c r="J76" s="98"/>
      <c r="K76" s="98"/>
      <c r="L76" s="98"/>
      <c r="M76" s="98"/>
      <c r="N76" s="98"/>
      <c r="O76" s="98"/>
      <c r="P76" s="98"/>
      <c r="Q76" s="98"/>
      <c r="R76" s="98"/>
      <c r="S76" s="98"/>
      <c r="T76" s="98"/>
      <c r="U76" s="98"/>
      <c r="V76" s="98"/>
      <c r="W76" s="98"/>
      <c r="X76" s="98"/>
      <c r="Y76" s="98"/>
      <c r="Z76" s="98"/>
      <c r="AA76" s="56"/>
    </row>
    <row r="77" spans="1:27" x14ac:dyDescent="0.2">
      <c r="A77" s="96"/>
      <c r="B77" s="67"/>
      <c r="C77" s="67"/>
      <c r="D77" s="67"/>
      <c r="E77" s="67"/>
      <c r="F77" s="67"/>
      <c r="G77" s="109" t="s">
        <v>388</v>
      </c>
      <c r="H77" s="117">
        <v>32</v>
      </c>
      <c r="I77" s="110" t="s">
        <v>395</v>
      </c>
      <c r="J77" s="98"/>
      <c r="K77" s="98"/>
      <c r="L77" s="98"/>
      <c r="M77" s="98"/>
      <c r="N77" s="98"/>
      <c r="O77" s="98"/>
      <c r="P77" s="98"/>
      <c r="Q77" s="98"/>
      <c r="R77" s="98"/>
      <c r="S77" s="98"/>
      <c r="T77" s="98"/>
      <c r="U77" s="98"/>
      <c r="V77" s="98"/>
      <c r="W77" s="98"/>
      <c r="X77" s="98"/>
      <c r="Y77" s="98"/>
      <c r="Z77" s="98"/>
      <c r="AA77" s="56"/>
    </row>
    <row r="78" spans="1:27" x14ac:dyDescent="0.2">
      <c r="A78" s="96"/>
      <c r="B78" s="67"/>
      <c r="C78" s="67"/>
      <c r="D78" s="67"/>
      <c r="E78" s="67"/>
      <c r="F78" s="67"/>
      <c r="G78" s="109" t="s">
        <v>389</v>
      </c>
      <c r="H78" s="117">
        <v>8</v>
      </c>
      <c r="I78" s="110" t="s">
        <v>395</v>
      </c>
      <c r="J78" s="98"/>
      <c r="K78" s="98"/>
      <c r="L78" s="98"/>
      <c r="M78" s="98"/>
      <c r="N78" s="98"/>
      <c r="O78" s="98"/>
      <c r="P78" s="98"/>
      <c r="Q78" s="98"/>
      <c r="R78" s="98"/>
      <c r="S78" s="98"/>
      <c r="T78" s="98"/>
      <c r="U78" s="98"/>
      <c r="V78" s="98"/>
      <c r="W78" s="98"/>
      <c r="X78" s="98"/>
      <c r="Y78" s="98"/>
      <c r="Z78" s="98"/>
      <c r="AA78" s="56"/>
    </row>
    <row r="79" spans="1:27" x14ac:dyDescent="0.2">
      <c r="A79" s="75"/>
      <c r="B79" s="67"/>
      <c r="C79" s="67"/>
      <c r="D79" s="67"/>
      <c r="E79" s="67"/>
      <c r="F79" s="67"/>
      <c r="G79" s="109" t="s">
        <v>390</v>
      </c>
      <c r="H79" s="117">
        <v>9</v>
      </c>
      <c r="I79" s="110" t="s">
        <v>395</v>
      </c>
      <c r="J79" s="98"/>
      <c r="K79" s="98"/>
      <c r="L79" s="98"/>
      <c r="M79" s="98"/>
      <c r="N79" s="98"/>
      <c r="O79" s="98"/>
      <c r="P79" s="98"/>
      <c r="Q79" s="98"/>
      <c r="R79" s="98"/>
      <c r="S79" s="98"/>
      <c r="T79" s="98"/>
      <c r="U79" s="98"/>
      <c r="V79" s="98"/>
      <c r="W79" s="98"/>
      <c r="X79" s="98"/>
      <c r="Y79" s="98"/>
      <c r="Z79" s="98"/>
      <c r="AA79" s="56"/>
    </row>
    <row r="80" spans="1:27" x14ac:dyDescent="0.2">
      <c r="A80" s="75"/>
      <c r="B80" s="67"/>
      <c r="C80" s="67"/>
      <c r="D80" s="67"/>
      <c r="E80" s="67"/>
      <c r="F80" s="67"/>
      <c r="G80" s="109" t="s">
        <v>391</v>
      </c>
      <c r="H80" s="117">
        <v>0.7</v>
      </c>
      <c r="I80" s="110" t="s">
        <v>396</v>
      </c>
      <c r="J80" s="98"/>
      <c r="K80" s="98"/>
      <c r="L80" s="98"/>
      <c r="M80" s="98"/>
      <c r="N80" s="98"/>
      <c r="O80" s="98"/>
      <c r="P80" s="98"/>
      <c r="Q80" s="98"/>
      <c r="R80" s="98"/>
      <c r="S80" s="98"/>
      <c r="T80" s="98"/>
      <c r="U80" s="98"/>
      <c r="V80" s="98"/>
      <c r="W80" s="98"/>
      <c r="X80" s="98"/>
      <c r="Y80" s="98"/>
      <c r="Z80" s="98"/>
      <c r="AA80" s="56"/>
    </row>
    <row r="81" spans="1:27" x14ac:dyDescent="0.2">
      <c r="A81" s="75"/>
      <c r="B81" s="67"/>
      <c r="C81" s="67"/>
      <c r="D81" s="67"/>
      <c r="E81" s="67"/>
      <c r="F81" s="67"/>
      <c r="G81" s="109" t="s">
        <v>392</v>
      </c>
      <c r="H81" s="117">
        <v>15.2</v>
      </c>
      <c r="I81" s="110" t="s">
        <v>397</v>
      </c>
      <c r="J81" s="98"/>
      <c r="K81" s="98"/>
      <c r="L81" s="98"/>
      <c r="M81" s="98"/>
      <c r="N81" s="98"/>
      <c r="O81" s="98"/>
      <c r="P81" s="98"/>
      <c r="Q81" s="98"/>
      <c r="R81" s="98"/>
      <c r="S81" s="98"/>
      <c r="T81" s="98"/>
      <c r="U81" s="98"/>
      <c r="V81" s="98"/>
      <c r="W81" s="98"/>
      <c r="X81" s="98"/>
      <c r="Y81" s="98"/>
      <c r="Z81" s="98"/>
      <c r="AA81" s="56"/>
    </row>
    <row r="82" spans="1:27" ht="16" thickBot="1" x14ac:dyDescent="0.25">
      <c r="A82" s="88"/>
      <c r="B82" s="83"/>
      <c r="C82" s="83"/>
      <c r="D82" s="83"/>
      <c r="E82" s="83"/>
      <c r="F82" s="83"/>
      <c r="G82" s="111" t="s">
        <v>393</v>
      </c>
      <c r="H82" s="124">
        <v>3</v>
      </c>
      <c r="I82" s="112" t="s">
        <v>10</v>
      </c>
      <c r="J82" s="98"/>
      <c r="K82" s="98"/>
      <c r="L82" s="98"/>
      <c r="M82" s="98"/>
      <c r="N82" s="98"/>
      <c r="O82" s="98"/>
      <c r="P82" s="98"/>
      <c r="Q82" s="98"/>
      <c r="R82" s="98"/>
      <c r="S82" s="98"/>
      <c r="T82" s="98"/>
      <c r="U82" s="98"/>
      <c r="V82" s="98"/>
      <c r="W82" s="98"/>
      <c r="X82" s="98"/>
      <c r="Y82" s="98"/>
      <c r="Z82" s="98"/>
      <c r="AA82" s="56"/>
    </row>
    <row r="83" spans="1:27" x14ac:dyDescent="0.2">
      <c r="A83" s="67"/>
      <c r="B83" s="67"/>
      <c r="C83" s="67"/>
      <c r="D83" s="67"/>
      <c r="E83" s="67"/>
      <c r="F83" s="67"/>
      <c r="G83" s="68"/>
      <c r="H83" s="67"/>
      <c r="I83" s="67"/>
      <c r="J83" s="67"/>
      <c r="K83" s="67"/>
      <c r="L83" s="67"/>
      <c r="M83" s="67"/>
      <c r="N83" s="67"/>
      <c r="O83" s="67"/>
      <c r="P83" s="67"/>
      <c r="Q83" s="67"/>
      <c r="R83" s="67"/>
      <c r="S83" s="67"/>
      <c r="T83" s="67"/>
      <c r="U83" s="67"/>
      <c r="V83" s="67"/>
      <c r="W83" s="67"/>
      <c r="X83" s="67"/>
      <c r="Y83" s="67"/>
      <c r="Z83" s="67"/>
      <c r="AA83" s="56"/>
    </row>
    <row r="84" spans="1:27" ht="16" thickBot="1" x14ac:dyDescent="0.25">
      <c r="A84" s="106" t="s">
        <v>398</v>
      </c>
      <c r="B84" s="67"/>
      <c r="C84" s="67"/>
      <c r="D84" s="67"/>
      <c r="E84" s="67"/>
      <c r="F84" s="67"/>
      <c r="G84" s="68"/>
      <c r="H84" s="67"/>
      <c r="I84" s="67"/>
      <c r="J84" s="67"/>
      <c r="K84" s="67"/>
      <c r="L84" s="67"/>
      <c r="M84" s="67"/>
      <c r="N84" s="67"/>
      <c r="O84" s="67"/>
      <c r="P84" s="67"/>
      <c r="Q84" s="67"/>
      <c r="R84" s="67"/>
      <c r="S84" s="67"/>
      <c r="T84" s="67"/>
      <c r="U84" s="67"/>
      <c r="V84" s="67"/>
      <c r="W84" s="67"/>
      <c r="X84" s="67"/>
      <c r="Y84" s="67"/>
      <c r="Z84" s="67"/>
      <c r="AA84" s="56"/>
    </row>
    <row r="85" spans="1:27" ht="17" x14ac:dyDescent="0.25">
      <c r="A85" s="71"/>
      <c r="B85" s="72"/>
      <c r="C85" s="72"/>
      <c r="D85" s="72"/>
      <c r="E85" s="72"/>
      <c r="F85" s="72"/>
      <c r="G85" s="93" t="s">
        <v>492</v>
      </c>
      <c r="H85" s="134">
        <f>IOUT</f>
        <v>0.01</v>
      </c>
      <c r="I85" s="74" t="s">
        <v>11</v>
      </c>
      <c r="J85" s="98"/>
      <c r="K85" s="98"/>
      <c r="L85" s="98"/>
      <c r="M85" s="98"/>
      <c r="N85" s="98"/>
      <c r="O85" s="98"/>
      <c r="P85" s="98"/>
      <c r="Q85" s="98"/>
      <c r="R85" s="98"/>
      <c r="S85" s="98"/>
      <c r="T85" s="98"/>
      <c r="U85" s="98"/>
      <c r="V85" s="98"/>
      <c r="W85" s="98"/>
      <c r="X85" s="98"/>
      <c r="Y85" s="98"/>
      <c r="Z85" s="98"/>
      <c r="AA85" s="56"/>
    </row>
    <row r="86" spans="1:27" ht="17" x14ac:dyDescent="0.25">
      <c r="A86" s="75"/>
      <c r="B86" s="67"/>
      <c r="C86" s="67"/>
      <c r="D86" s="67"/>
      <c r="E86" s="67"/>
      <c r="F86" s="67"/>
      <c r="G86" s="68" t="s">
        <v>400</v>
      </c>
      <c r="H86" s="117">
        <v>800</v>
      </c>
      <c r="I86" s="77" t="s">
        <v>186</v>
      </c>
      <c r="J86" s="98"/>
      <c r="K86" s="98"/>
      <c r="L86" s="98"/>
      <c r="M86" s="98"/>
      <c r="N86" s="98"/>
      <c r="O86" s="98"/>
      <c r="P86" s="98"/>
      <c r="Q86" s="98"/>
      <c r="R86" s="98"/>
      <c r="S86" s="98"/>
      <c r="T86" s="98"/>
      <c r="U86" s="98"/>
      <c r="V86" s="98"/>
      <c r="W86" s="98"/>
      <c r="X86" s="98"/>
      <c r="Y86" s="98"/>
      <c r="Z86" s="98"/>
      <c r="AA86" s="56"/>
    </row>
    <row r="87" spans="1:27" ht="16" thickBot="1" x14ac:dyDescent="0.25">
      <c r="A87" s="88"/>
      <c r="B87" s="83"/>
      <c r="C87" s="83"/>
      <c r="D87" s="83"/>
      <c r="E87" s="83"/>
      <c r="F87" s="83"/>
      <c r="G87" s="91" t="s">
        <v>408</v>
      </c>
      <c r="H87" s="124">
        <v>50</v>
      </c>
      <c r="I87" s="85" t="s">
        <v>395</v>
      </c>
      <c r="J87" s="98"/>
      <c r="K87" s="98"/>
      <c r="L87" s="98"/>
      <c r="M87" s="98"/>
      <c r="N87" s="98"/>
      <c r="O87" s="98"/>
      <c r="P87" s="98"/>
      <c r="Q87" s="98"/>
      <c r="R87" s="98"/>
      <c r="S87" s="98"/>
      <c r="T87" s="98"/>
      <c r="U87" s="98"/>
      <c r="V87" s="98"/>
      <c r="W87" s="98"/>
      <c r="X87" s="98"/>
      <c r="Y87" s="98"/>
      <c r="Z87" s="98"/>
      <c r="AA87" s="56"/>
    </row>
    <row r="88" spans="1:27" x14ac:dyDescent="0.2">
      <c r="A88" s="67"/>
      <c r="B88" s="67"/>
      <c r="C88" s="67"/>
      <c r="D88" s="67"/>
      <c r="E88" s="67"/>
      <c r="F88" s="67"/>
      <c r="G88" s="68"/>
      <c r="H88" s="67"/>
      <c r="I88" s="67"/>
      <c r="J88" s="67"/>
      <c r="K88" s="67"/>
      <c r="L88" s="67"/>
      <c r="M88" s="67"/>
      <c r="N88" s="67"/>
      <c r="O88" s="67"/>
      <c r="P88" s="67"/>
      <c r="Q88" s="67"/>
      <c r="R88" s="67"/>
      <c r="S88" s="67"/>
      <c r="T88" s="67"/>
      <c r="U88" s="67"/>
      <c r="V88" s="67"/>
      <c r="W88" s="67"/>
      <c r="X88" s="67"/>
      <c r="Y88" s="67"/>
      <c r="Z88" s="67"/>
      <c r="AA88" s="56"/>
    </row>
    <row r="89" spans="1:27" x14ac:dyDescent="0.2">
      <c r="A89" s="67"/>
      <c r="B89" s="67"/>
      <c r="C89" s="67"/>
      <c r="D89" s="67"/>
      <c r="E89" s="67"/>
      <c r="F89" s="67"/>
      <c r="G89" s="68"/>
      <c r="H89" s="67"/>
      <c r="I89" s="67"/>
      <c r="J89" s="67"/>
      <c r="K89" s="67"/>
      <c r="L89" s="67"/>
      <c r="M89" s="67"/>
      <c r="N89" s="67"/>
      <c r="O89" s="67"/>
      <c r="P89" s="67"/>
      <c r="Q89" s="67"/>
      <c r="R89" s="67"/>
      <c r="S89" s="67"/>
      <c r="T89" s="67"/>
      <c r="U89" s="67"/>
      <c r="V89" s="67"/>
      <c r="W89" s="67"/>
      <c r="X89" s="67"/>
      <c r="Y89" s="67"/>
      <c r="Z89" s="67"/>
      <c r="AA89" s="56"/>
    </row>
    <row r="90" spans="1:27" x14ac:dyDescent="0.2">
      <c r="A90" s="67"/>
      <c r="B90" s="67"/>
      <c r="C90" s="67"/>
      <c r="D90" s="67"/>
      <c r="E90" s="67"/>
      <c r="F90" s="67"/>
      <c r="G90" s="68"/>
      <c r="H90" s="67"/>
      <c r="I90" s="67"/>
      <c r="J90" s="67"/>
      <c r="K90" s="67"/>
      <c r="L90" s="67"/>
      <c r="M90" s="67"/>
      <c r="N90" s="67"/>
      <c r="O90" s="67"/>
      <c r="P90" s="67"/>
      <c r="Q90" s="67"/>
      <c r="R90" s="67"/>
      <c r="S90" s="67"/>
      <c r="T90" s="67"/>
      <c r="U90" s="67"/>
      <c r="V90" s="67"/>
      <c r="W90" s="67"/>
      <c r="X90" s="67"/>
      <c r="Y90" s="67"/>
      <c r="Z90" s="67"/>
      <c r="AA90" s="56"/>
    </row>
    <row r="91" spans="1:27" x14ac:dyDescent="0.2">
      <c r="A91" s="67"/>
      <c r="B91" s="67"/>
      <c r="C91" s="67"/>
      <c r="D91" s="67"/>
      <c r="E91" s="67"/>
      <c r="F91" s="67"/>
      <c r="G91" s="68"/>
      <c r="H91" s="67"/>
      <c r="I91" s="67"/>
      <c r="J91" s="67"/>
      <c r="K91" s="67"/>
      <c r="L91" s="67"/>
      <c r="M91" s="67"/>
      <c r="N91" s="67"/>
      <c r="O91" s="67"/>
      <c r="P91" s="67"/>
      <c r="Q91" s="67"/>
      <c r="R91" s="67"/>
      <c r="S91" s="67"/>
      <c r="T91" s="67"/>
      <c r="U91" s="67"/>
      <c r="V91" s="67"/>
      <c r="W91" s="67"/>
      <c r="X91" s="67"/>
      <c r="Y91" s="67"/>
      <c r="Z91" s="67"/>
      <c r="AA91" s="56"/>
    </row>
    <row r="92" spans="1:27" x14ac:dyDescent="0.2">
      <c r="A92" s="67"/>
      <c r="B92" s="67"/>
      <c r="C92" s="67"/>
      <c r="D92" s="67"/>
      <c r="E92" s="67"/>
      <c r="F92" s="67"/>
      <c r="G92" s="68"/>
      <c r="H92" s="67"/>
      <c r="I92" s="67"/>
      <c r="J92" s="67"/>
      <c r="K92" s="67"/>
      <c r="L92" s="67"/>
      <c r="M92" s="67"/>
      <c r="N92" s="67"/>
      <c r="O92" s="67"/>
      <c r="P92" s="67"/>
      <c r="Q92" s="67"/>
      <c r="R92" s="67"/>
      <c r="S92" s="67"/>
      <c r="T92" s="67"/>
      <c r="U92" s="67"/>
      <c r="V92" s="67"/>
      <c r="W92" s="67"/>
      <c r="X92" s="67"/>
      <c r="Y92" s="67"/>
      <c r="Z92" s="67"/>
      <c r="AA92" s="56"/>
    </row>
    <row r="93" spans="1:27" x14ac:dyDescent="0.2">
      <c r="A93" s="67"/>
      <c r="B93" s="67"/>
      <c r="C93" s="67"/>
      <c r="D93" s="67"/>
      <c r="E93" s="67"/>
      <c r="F93" s="67"/>
      <c r="G93" s="68"/>
      <c r="H93" s="67"/>
      <c r="I93" s="67"/>
      <c r="J93" s="67"/>
      <c r="K93" s="67"/>
      <c r="L93" s="67"/>
      <c r="M93" s="67"/>
      <c r="N93" s="67"/>
      <c r="O93" s="67"/>
      <c r="P93" s="67"/>
      <c r="Q93" s="67"/>
      <c r="R93" s="67"/>
      <c r="S93" s="67"/>
      <c r="T93" s="67"/>
      <c r="U93" s="67"/>
      <c r="V93" s="67"/>
      <c r="W93" s="67"/>
      <c r="X93" s="67"/>
      <c r="Y93" s="67"/>
      <c r="Z93" s="67"/>
      <c r="AA93" s="56"/>
    </row>
    <row r="94" spans="1:27" x14ac:dyDescent="0.2">
      <c r="A94" s="67"/>
      <c r="B94" s="67"/>
      <c r="C94" s="67"/>
      <c r="D94" s="67"/>
      <c r="E94" s="67"/>
      <c r="F94" s="67"/>
      <c r="G94" s="68"/>
      <c r="H94" s="67"/>
      <c r="I94" s="67"/>
      <c r="J94" s="67"/>
      <c r="K94" s="67"/>
      <c r="L94" s="67"/>
      <c r="M94" s="67"/>
      <c r="N94" s="67"/>
      <c r="O94" s="67"/>
      <c r="P94" s="67"/>
      <c r="Q94" s="67"/>
      <c r="R94" s="67"/>
      <c r="S94" s="67"/>
      <c r="T94" s="67"/>
      <c r="U94" s="67"/>
      <c r="V94" s="67"/>
      <c r="W94" s="67"/>
      <c r="X94" s="67"/>
      <c r="Y94" s="67"/>
      <c r="Z94" s="67"/>
      <c r="AA94" s="56"/>
    </row>
    <row r="95" spans="1:27" x14ac:dyDescent="0.2">
      <c r="A95" s="67"/>
      <c r="B95" s="67"/>
      <c r="C95" s="67"/>
      <c r="D95" s="67"/>
      <c r="E95" s="67"/>
      <c r="F95" s="67"/>
      <c r="G95" s="68"/>
      <c r="H95" s="67"/>
      <c r="I95" s="67"/>
      <c r="J95" s="67"/>
      <c r="K95" s="67"/>
      <c r="L95" s="67"/>
      <c r="M95" s="67"/>
      <c r="N95" s="67"/>
      <c r="O95" s="67"/>
      <c r="P95" s="67"/>
      <c r="Q95" s="67"/>
      <c r="R95" s="67"/>
      <c r="S95" s="67"/>
      <c r="T95" s="67"/>
      <c r="U95" s="67"/>
      <c r="V95" s="67"/>
      <c r="W95" s="67"/>
      <c r="X95" s="67"/>
      <c r="Y95" s="67"/>
      <c r="Z95" s="67"/>
      <c r="AA95" s="56"/>
    </row>
    <row r="96" spans="1:27" x14ac:dyDescent="0.2">
      <c r="A96" s="67"/>
      <c r="B96" s="67"/>
      <c r="C96" s="67"/>
      <c r="D96" s="67"/>
      <c r="E96" s="67"/>
      <c r="F96" s="67"/>
      <c r="G96" s="68"/>
      <c r="H96" s="67"/>
      <c r="I96" s="67"/>
      <c r="J96" s="67"/>
      <c r="K96" s="67"/>
      <c r="L96" s="67"/>
      <c r="M96" s="67"/>
      <c r="N96" s="67"/>
      <c r="O96" s="67"/>
      <c r="P96" s="67"/>
      <c r="Q96" s="67"/>
      <c r="R96" s="67"/>
      <c r="S96" s="67"/>
      <c r="T96" s="67"/>
      <c r="U96" s="67"/>
      <c r="V96" s="67"/>
      <c r="W96" s="67"/>
      <c r="X96" s="67"/>
      <c r="Y96" s="67"/>
      <c r="Z96" s="67"/>
      <c r="AA96" s="56"/>
    </row>
    <row r="97" spans="1:27" x14ac:dyDescent="0.2">
      <c r="A97" s="67"/>
      <c r="B97" s="67"/>
      <c r="C97" s="67"/>
      <c r="D97" s="67"/>
      <c r="E97" s="67"/>
      <c r="F97" s="67"/>
      <c r="G97" s="68"/>
      <c r="H97" s="67"/>
      <c r="I97" s="67"/>
      <c r="J97" s="67"/>
      <c r="K97" s="67"/>
      <c r="L97" s="67"/>
      <c r="M97" s="67"/>
      <c r="N97" s="67"/>
      <c r="O97" s="67"/>
      <c r="P97" s="67"/>
      <c r="Q97" s="67"/>
      <c r="R97" s="67"/>
      <c r="S97" s="67"/>
      <c r="T97" s="67"/>
      <c r="U97" s="67"/>
      <c r="V97" s="67"/>
      <c r="W97" s="67"/>
      <c r="X97" s="67"/>
      <c r="Y97" s="67"/>
      <c r="Z97" s="67"/>
      <c r="AA97" s="56"/>
    </row>
    <row r="98" spans="1:27" x14ac:dyDescent="0.2">
      <c r="A98" s="67"/>
      <c r="B98" s="67"/>
      <c r="C98" s="67"/>
      <c r="D98" s="67"/>
      <c r="E98" s="67"/>
      <c r="F98" s="67"/>
      <c r="G98" s="68"/>
      <c r="H98" s="67"/>
      <c r="I98" s="67"/>
      <c r="J98" s="67"/>
      <c r="K98" s="67"/>
      <c r="L98" s="67"/>
      <c r="M98" s="67"/>
      <c r="N98" s="67"/>
      <c r="O98" s="67"/>
      <c r="P98" s="67"/>
      <c r="Q98" s="67"/>
      <c r="R98" s="67"/>
      <c r="S98" s="67"/>
      <c r="T98" s="67"/>
      <c r="U98" s="67"/>
      <c r="V98" s="67"/>
      <c r="W98" s="67"/>
      <c r="X98" s="67"/>
      <c r="Y98" s="67"/>
      <c r="Z98" s="67"/>
      <c r="AA98" s="56"/>
    </row>
    <row r="99" spans="1:27" x14ac:dyDescent="0.2">
      <c r="A99" s="67"/>
      <c r="B99" s="67"/>
      <c r="C99" s="67"/>
      <c r="D99" s="67"/>
      <c r="E99" s="67"/>
      <c r="F99" s="67"/>
      <c r="G99" s="68"/>
      <c r="H99" s="67"/>
      <c r="I99" s="67"/>
      <c r="J99" s="67"/>
      <c r="K99" s="67"/>
      <c r="L99" s="67"/>
      <c r="M99" s="67"/>
      <c r="N99" s="67"/>
      <c r="O99" s="67"/>
      <c r="P99" s="67"/>
      <c r="Q99" s="67"/>
      <c r="R99" s="67"/>
      <c r="S99" s="67"/>
      <c r="T99" s="67"/>
      <c r="U99" s="67"/>
      <c r="V99" s="67"/>
      <c r="W99" s="67"/>
      <c r="X99" s="67"/>
      <c r="Y99" s="67"/>
      <c r="Z99" s="67"/>
      <c r="AA99" s="56"/>
    </row>
    <row r="100" spans="1:27" x14ac:dyDescent="0.2">
      <c r="A100" s="58"/>
      <c r="B100" s="58"/>
      <c r="C100" s="58"/>
      <c r="D100" s="58"/>
      <c r="E100" s="58"/>
      <c r="F100" s="58"/>
      <c r="G100" s="59"/>
      <c r="H100" s="58"/>
      <c r="I100" s="58"/>
      <c r="J100" s="58"/>
      <c r="K100" s="58"/>
      <c r="L100" s="58"/>
      <c r="M100" s="58"/>
      <c r="N100" s="58"/>
      <c r="O100" s="58"/>
      <c r="P100" s="58"/>
      <c r="Q100" s="58"/>
      <c r="R100" s="58"/>
      <c r="S100" s="58"/>
      <c r="T100" s="58"/>
      <c r="U100" s="58"/>
      <c r="V100" s="58"/>
      <c r="W100" s="58"/>
      <c r="X100" s="58"/>
      <c r="Y100" s="58"/>
      <c r="Z100" s="58"/>
      <c r="AA100" s="56"/>
    </row>
  </sheetData>
  <sheetProtection algorithmName="SHA-512" hashValue="IUA5uLyW0mrRZkyPJKKIRFc3+5hN1b0hecgM8dzHCtjOUVEzhalBCWCXogf3HWMbmjeUOfL+5zp1szCxL2zuFA==" saltValue="VgYrN/Jn0z4UXKKRqvjtkQ==" spinCount="100000" sheet="1" objects="1" scenarios="1" selectLockedCells="1"/>
  <mergeCells count="1">
    <mergeCell ref="N3:O3"/>
  </mergeCells>
  <conditionalFormatting sqref="H7">
    <cfRule type="cellIs" dxfId="10" priority="2" operator="greaterThan">
      <formula>VIN_op_max_56</formula>
    </cfRule>
    <cfRule type="cellIs" dxfId="9" priority="17" operator="greaterThan">
      <formula>VIN_op_max</formula>
    </cfRule>
    <cfRule type="cellIs" dxfId="8" priority="18" operator="lessThan">
      <formula>VIN_op_min</formula>
    </cfRule>
  </conditionalFormatting>
  <conditionalFormatting sqref="H8">
    <cfRule type="cellIs" dxfId="7" priority="16" operator="notBetween">
      <formula>$H$7</formula>
      <formula>$H$9</formula>
    </cfRule>
  </conditionalFormatting>
  <conditionalFormatting sqref="H9">
    <cfRule type="cellIs" dxfId="6" priority="1" operator="greaterThan">
      <formula>VIN_op_max_56</formula>
    </cfRule>
    <cfRule type="cellIs" dxfId="5" priority="13" operator="greaterThan">
      <formula>VIN_op_max</formula>
    </cfRule>
    <cfRule type="cellIs" dxfId="4" priority="14" operator="lessThan">
      <formula>VIN_op_min</formula>
    </cfRule>
  </conditionalFormatting>
  <conditionalFormatting sqref="H17">
    <cfRule type="cellIs" dxfId="3" priority="6" operator="greaterThan">
      <formula>$H$16</formula>
    </cfRule>
  </conditionalFormatting>
  <conditionalFormatting sqref="H57">
    <cfRule type="expression" dxfId="1" priority="11">
      <formula>$H$8&gt;$H$9</formula>
    </cfRule>
    <cfRule type="expression" dxfId="0" priority="12">
      <formula>$H$8&lt;$H$7</formula>
    </cfRule>
  </conditionalFormatting>
  <dataValidations count="1">
    <dataValidation type="list" allowBlank="1" showInputMessage="1" showErrorMessage="1" sqref="H18" xr:uid="{B6CBC9E4-52B2-4FA8-BCFD-24B327448BB5}">
      <formula1>CondMode</formula1>
    </dataValidation>
  </dataValidations>
  <hyperlinks>
    <hyperlink ref="N3" location="About!A1" display="TERMS OF USE" xr:uid="{EE270A3B-8816-419E-84BC-D008FEAD0366}"/>
    <hyperlink ref="N3:O3" location="Licenses!A1" display="TERMS OF USE" xr:uid="{7B8CA94F-4734-4CAD-88EF-98DE4E41009B}"/>
  </hyperlinks>
  <pageMargins left="0.2" right="0.2" top="0.25" bottom="0.25" header="0" footer="0"/>
  <pageSetup paperSize="9" scale="4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70" r:id="rId4" name="Drop Down 146">
              <controlPr defaultSize="0" print="0" autoLine="0" autoPict="0" altText="This is just there to fix the excel issue with comments and linked pictures">
                <anchor moveWithCells="1">
                  <from>
                    <xdr:col>14</xdr:col>
                    <xdr:colOff>596900</xdr:colOff>
                    <xdr:row>30</xdr:row>
                    <xdr:rowOff>88900</xdr:rowOff>
                  </from>
                  <to>
                    <xdr:col>16</xdr:col>
                    <xdr:colOff>215900</xdr:colOff>
                    <xdr:row>31</xdr:row>
                    <xdr:rowOff>114300</xdr:rowOff>
                  </to>
                </anchor>
              </controlPr>
            </control>
          </mc:Choice>
        </mc:AlternateContent>
        <mc:AlternateContent xmlns:mc="http://schemas.openxmlformats.org/markup-compatibility/2006">
          <mc:Choice Requires="x14">
            <control shapeId="1060" r:id="rId5" name="Spinner 36">
              <controlPr defaultSize="0" autoPict="0">
                <anchor moveWithCells="1" sizeWithCells="1">
                  <from>
                    <xdr:col>7</xdr:col>
                    <xdr:colOff>508000</xdr:colOff>
                    <xdr:row>56</xdr:row>
                    <xdr:rowOff>0</xdr:rowOff>
                  </from>
                  <to>
                    <xdr:col>8</xdr:col>
                    <xdr:colOff>12700</xdr:colOff>
                    <xdr:row>58</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3" id="{AB53E77D-5294-4F50-832B-89A6F7F8A8A1}">
            <xm:f>NOT(Variable_Management!$K$30)</xm:f>
            <x14:dxf>
              <font>
                <color rgb="FFC00000"/>
              </font>
              <fill>
                <patternFill>
                  <bgColor theme="5" tint="0.59996337778862885"/>
                </patternFill>
              </fill>
            </x14:dxf>
          </x14:cfRule>
          <xm:sqref>H23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56"/>
  <sheetViews>
    <sheetView zoomScale="85" zoomScaleNormal="85" workbookViewId="0">
      <pane ySplit="5" topLeftCell="A48" activePane="bottomLeft" state="frozen"/>
      <selection activeCell="N8" sqref="N8"/>
      <selection pane="bottomLeft" activeCell="B89" sqref="B89"/>
    </sheetView>
  </sheetViews>
  <sheetFormatPr baseColWidth="10" defaultColWidth="8.83203125" defaultRowHeight="15" x14ac:dyDescent="0.2"/>
  <cols>
    <col min="1" max="1" width="28.83203125" customWidth="1"/>
    <col min="2" max="2" width="19.5" customWidth="1"/>
    <col min="3" max="3" width="10.83203125" customWidth="1"/>
    <col min="4" max="4" width="10" bestFit="1" customWidth="1"/>
    <col min="5" max="5" width="18.6640625" customWidth="1"/>
    <col min="6" max="6" width="14.6640625" customWidth="1"/>
    <col min="7" max="7" width="15.1640625" customWidth="1"/>
    <col min="8" max="9" width="12.5" customWidth="1"/>
    <col min="11" max="11" width="12.83203125" bestFit="1" customWidth="1"/>
    <col min="12" max="14" width="12.33203125" bestFit="1" customWidth="1"/>
  </cols>
  <sheetData>
    <row r="1" spans="1:17" ht="28" x14ac:dyDescent="0.3">
      <c r="A1" s="230" t="s">
        <v>15</v>
      </c>
      <c r="B1" s="230"/>
      <c r="C1" s="230"/>
      <c r="D1" s="230"/>
      <c r="E1" s="230"/>
      <c r="F1" s="230"/>
      <c r="G1" s="230"/>
      <c r="H1" s="230"/>
      <c r="I1" s="230"/>
      <c r="J1" s="230"/>
    </row>
    <row r="2" spans="1:17" x14ac:dyDescent="0.2">
      <c r="A2" s="5"/>
      <c r="B2" s="5" t="s">
        <v>16</v>
      </c>
      <c r="C2" s="6"/>
      <c r="D2" s="4"/>
      <c r="E2" s="5"/>
      <c r="F2" s="5"/>
      <c r="G2" s="5"/>
      <c r="H2" s="5"/>
      <c r="I2" s="5"/>
      <c r="J2" s="5"/>
    </row>
    <row r="3" spans="1:17" x14ac:dyDescent="0.2">
      <c r="A3" s="5"/>
      <c r="B3" s="5" t="s">
        <v>17</v>
      </c>
      <c r="C3" s="7"/>
      <c r="D3" s="4"/>
      <c r="E3" s="5"/>
      <c r="F3" s="14" t="s">
        <v>63</v>
      </c>
      <c r="G3" s="15" t="s">
        <v>64</v>
      </c>
      <c r="H3" s="26" t="s">
        <v>67</v>
      </c>
      <c r="I3" s="5"/>
      <c r="J3" s="5"/>
    </row>
    <row r="4" spans="1:17" x14ac:dyDescent="0.2">
      <c r="A4" s="5"/>
      <c r="B4" s="5" t="s">
        <v>18</v>
      </c>
      <c r="C4" s="8"/>
      <c r="D4" s="4"/>
      <c r="E4" s="5"/>
      <c r="F4" s="5"/>
      <c r="G4" s="5"/>
      <c r="H4" s="5"/>
      <c r="I4" s="5"/>
      <c r="J4" s="5"/>
    </row>
    <row r="5" spans="1:17" x14ac:dyDescent="0.2">
      <c r="A5" s="9" t="s">
        <v>19</v>
      </c>
      <c r="B5" s="9" t="s">
        <v>20</v>
      </c>
      <c r="C5" s="9" t="s">
        <v>21</v>
      </c>
      <c r="D5" s="4"/>
      <c r="E5" s="231" t="s">
        <v>22</v>
      </c>
      <c r="F5" s="231"/>
      <c r="G5" s="231"/>
      <c r="H5" s="231"/>
      <c r="I5" s="5"/>
      <c r="J5" s="9" t="s">
        <v>23</v>
      </c>
      <c r="K5" s="9" t="s">
        <v>71</v>
      </c>
      <c r="L5" s="4"/>
      <c r="M5" s="4"/>
      <c r="N5" s="4"/>
      <c r="O5" s="4"/>
      <c r="P5" s="4"/>
      <c r="Q5" s="4"/>
    </row>
    <row r="6" spans="1:17" ht="16" x14ac:dyDescent="0.2">
      <c r="A6" s="10" t="s">
        <v>24</v>
      </c>
      <c r="B6" s="9"/>
      <c r="C6" s="9"/>
      <c r="D6" s="9"/>
      <c r="E6" s="5"/>
      <c r="F6" s="5"/>
      <c r="G6" s="5"/>
      <c r="H6" s="5"/>
      <c r="I6" s="5"/>
      <c r="J6" s="9"/>
      <c r="K6" s="4"/>
      <c r="L6" s="4"/>
      <c r="M6" s="4"/>
      <c r="N6" s="4"/>
      <c r="O6" s="4"/>
      <c r="P6" s="4"/>
      <c r="Q6" s="4"/>
    </row>
    <row r="7" spans="1:17" x14ac:dyDescent="0.2">
      <c r="A7" t="s">
        <v>25</v>
      </c>
      <c r="B7" s="3">
        <f>'Design Converter'!H7</f>
        <v>4.8</v>
      </c>
      <c r="C7" t="s">
        <v>10</v>
      </c>
      <c r="E7" t="s">
        <v>28</v>
      </c>
    </row>
    <row r="8" spans="1:17" x14ac:dyDescent="0.2">
      <c r="A8" t="s">
        <v>26</v>
      </c>
      <c r="B8" s="3">
        <f>'Design Converter'!H8</f>
        <v>5</v>
      </c>
      <c r="C8" t="s">
        <v>10</v>
      </c>
      <c r="E8" t="s">
        <v>29</v>
      </c>
      <c r="K8">
        <f>IF(VIN_min&lt;VIN_min,1,IF(VIN_nom&gt;VIN_max,1,0))</f>
        <v>0</v>
      </c>
    </row>
    <row r="9" spans="1:17" x14ac:dyDescent="0.2">
      <c r="A9" t="s">
        <v>27</v>
      </c>
      <c r="B9" s="3">
        <f>'Design Converter'!H9</f>
        <v>5.5</v>
      </c>
      <c r="C9" t="s">
        <v>10</v>
      </c>
      <c r="E9" t="s">
        <v>30</v>
      </c>
    </row>
    <row r="10" spans="1:17" x14ac:dyDescent="0.2">
      <c r="A10" t="s">
        <v>68</v>
      </c>
      <c r="B10" s="3">
        <f>'Design Converter'!H12*1000</f>
        <v>100000</v>
      </c>
      <c r="C10" t="s">
        <v>69</v>
      </c>
      <c r="E10" t="s">
        <v>70</v>
      </c>
    </row>
    <row r="11" spans="1:17" x14ac:dyDescent="0.2">
      <c r="A11" t="s">
        <v>73</v>
      </c>
      <c r="B11" s="18">
        <f>((2.21*10^10)/Fsw)-955</f>
        <v>220045</v>
      </c>
      <c r="C11" s="2" t="s">
        <v>36</v>
      </c>
      <c r="E11" t="s">
        <v>74</v>
      </c>
    </row>
    <row r="13" spans="1:17" x14ac:dyDescent="0.2">
      <c r="A13" t="s">
        <v>31</v>
      </c>
      <c r="B13" s="3">
        <f>'Design Converter'!H10</f>
        <v>170</v>
      </c>
      <c r="C13" t="s">
        <v>10</v>
      </c>
      <c r="E13" t="s">
        <v>32</v>
      </c>
    </row>
    <row r="14" spans="1:17" x14ac:dyDescent="0.2">
      <c r="A14" t="s">
        <v>33</v>
      </c>
      <c r="B14" s="3">
        <f>'Design Converter'!H11</f>
        <v>0.01</v>
      </c>
      <c r="C14" t="s">
        <v>11</v>
      </c>
      <c r="E14" t="s">
        <v>34</v>
      </c>
    </row>
    <row r="15" spans="1:17" x14ac:dyDescent="0.2">
      <c r="A15" t="s">
        <v>35</v>
      </c>
      <c r="B15" s="1">
        <f>VOUT/IOUT</f>
        <v>17000</v>
      </c>
      <c r="C15" s="2" t="s">
        <v>36</v>
      </c>
      <c r="E15" t="s">
        <v>42</v>
      </c>
    </row>
    <row r="16" spans="1:17" x14ac:dyDescent="0.2">
      <c r="A16" t="s">
        <v>37</v>
      </c>
      <c r="B16" s="1">
        <f>VOUT*IOUT</f>
        <v>1.7</v>
      </c>
      <c r="C16" s="2" t="s">
        <v>38</v>
      </c>
      <c r="E16" t="s">
        <v>41</v>
      </c>
    </row>
    <row r="17" spans="1:19" x14ac:dyDescent="0.2">
      <c r="A17" t="s">
        <v>39</v>
      </c>
      <c r="B17" s="11">
        <f>'Design Converter'!H14/100</f>
        <v>0.85</v>
      </c>
      <c r="E17" t="s">
        <v>40</v>
      </c>
    </row>
    <row r="19" spans="1:19" x14ac:dyDescent="0.2">
      <c r="A19" s="33" t="s">
        <v>519</v>
      </c>
    </row>
    <row r="20" spans="1:19" x14ac:dyDescent="0.2">
      <c r="A20" t="s">
        <v>43</v>
      </c>
      <c r="B20" s="1">
        <f>IF(B$36="DCM",B55,B39)</f>
        <v>0.97176470588235297</v>
      </c>
      <c r="E20" t="s">
        <v>44</v>
      </c>
    </row>
    <row r="21" spans="1:19" x14ac:dyDescent="0.2">
      <c r="A21" t="s">
        <v>45</v>
      </c>
      <c r="B21" s="12">
        <f>Constants!B20</f>
        <v>0.93</v>
      </c>
      <c r="E21" t="s">
        <v>46</v>
      </c>
      <c r="K21">
        <f>IF(((1-D_limit_nom)/Constants!B12)&lt;Fsw,1,0)</f>
        <v>0</v>
      </c>
    </row>
    <row r="23" spans="1:19" x14ac:dyDescent="0.2">
      <c r="A23" t="s">
        <v>82</v>
      </c>
      <c r="B23" s="1">
        <f>IF(B$36="DCM",B58,B42)</f>
        <v>0.97176470588235297</v>
      </c>
      <c r="E23" t="s">
        <v>506</v>
      </c>
    </row>
    <row r="24" spans="1:19" x14ac:dyDescent="0.2">
      <c r="B24" s="13">
        <f>IF(B$36="DCM",B59,B43)</f>
        <v>9.7176470588235296E-6</v>
      </c>
      <c r="C24" t="s">
        <v>54</v>
      </c>
      <c r="E24" t="s">
        <v>333</v>
      </c>
    </row>
    <row r="25" spans="1:19" x14ac:dyDescent="0.2">
      <c r="A25" t="s">
        <v>92</v>
      </c>
      <c r="B25" s="17">
        <f>IF(B$36="DCM",B60,B44)</f>
        <v>0.35416666666666669</v>
      </c>
      <c r="C25" t="s">
        <v>11</v>
      </c>
      <c r="E25" t="s">
        <v>95</v>
      </c>
      <c r="K25" t="s">
        <v>559</v>
      </c>
      <c r="L25" t="s">
        <v>560</v>
      </c>
      <c r="M25" t="s">
        <v>572</v>
      </c>
    </row>
    <row r="26" spans="1:19" x14ac:dyDescent="0.2">
      <c r="J26" t="s">
        <v>561</v>
      </c>
      <c r="K26" t="b">
        <f>Dc_CCM_VIN_min&lt;B58</f>
        <v>0</v>
      </c>
      <c r="L26" t="b">
        <f>Dc_CCM_VIN_nom&lt;Dc_DCM_VIN_nom</f>
        <v>0</v>
      </c>
      <c r="M26" t="b">
        <f>Dc_CCM_VIN_max&lt;B66</f>
        <v>0</v>
      </c>
    </row>
    <row r="27" spans="1:19" x14ac:dyDescent="0.2">
      <c r="A27" t="s">
        <v>83</v>
      </c>
      <c r="B27" s="1">
        <f>IF(B$36="DCM",B62,B46)</f>
        <v>0.97058823529411764</v>
      </c>
      <c r="E27" t="s">
        <v>507</v>
      </c>
      <c r="J27" t="s">
        <v>565</v>
      </c>
      <c r="K27" t="b">
        <f>AND(K26:M26)</f>
        <v>0</v>
      </c>
    </row>
    <row r="28" spans="1:19" x14ac:dyDescent="0.2">
      <c r="B28" s="13">
        <f>IF(B$36="DCM",B63,B47)</f>
        <v>9.7058823529411756E-6</v>
      </c>
      <c r="C28" t="s">
        <v>54</v>
      </c>
      <c r="E28" t="s">
        <v>333</v>
      </c>
      <c r="J28" t="s">
        <v>566</v>
      </c>
      <c r="K28" t="b">
        <f>NOT(OR(K26:M26))</f>
        <v>1</v>
      </c>
    </row>
    <row r="29" spans="1:19" x14ac:dyDescent="0.2">
      <c r="A29" t="s">
        <v>93</v>
      </c>
      <c r="B29" s="17">
        <f>IF(B$36="DCM",B64,B48)</f>
        <v>0.33999999999999997</v>
      </c>
      <c r="C29" t="s">
        <v>11</v>
      </c>
      <c r="E29" t="s">
        <v>96</v>
      </c>
      <c r="J29" t="s">
        <v>562</v>
      </c>
      <c r="K29" t="b">
        <f>NOT(OR(K27:K28))</f>
        <v>0</v>
      </c>
    </row>
    <row r="30" spans="1:19" x14ac:dyDescent="0.2">
      <c r="J30" t="s">
        <v>567</v>
      </c>
      <c r="K30" t="b">
        <f>IF(Dc_Mode="CCM",K27,IF(Dc_Mode="DCM",K28,K29))</f>
        <v>0</v>
      </c>
      <c r="P30" t="s">
        <v>557</v>
      </c>
      <c r="Q30" t="s">
        <v>555</v>
      </c>
      <c r="R30" t="s">
        <v>556</v>
      </c>
      <c r="S30" t="s">
        <v>558</v>
      </c>
    </row>
    <row r="31" spans="1:19" x14ac:dyDescent="0.2">
      <c r="A31" t="s">
        <v>84</v>
      </c>
      <c r="B31" s="1">
        <f>IF(B$36="DCM",B66,B50)</f>
        <v>0.96764705882352942</v>
      </c>
      <c r="E31" t="s">
        <v>508</v>
      </c>
      <c r="K31" t="s">
        <v>554</v>
      </c>
      <c r="L31" s="137">
        <f>VIN_min/(Fsw*2*IOUT)*Dc_VIN_min*(1-Dc_VIN_min)</f>
        <v>6.5851349480968785E-5</v>
      </c>
      <c r="M31" s="137">
        <f>VIN_nom/(Fsw*2*IOUT)*Dc_VIN_nom*(1-Dc_VIN_nom)</f>
        <v>7.1366782006920435E-5</v>
      </c>
      <c r="N31" s="137">
        <f>VIN_max/(Fsw*2*IOUT)*Dc_VIN_max*(1-Dc_VIN_max)</f>
        <v>8.6092128027681652E-5</v>
      </c>
      <c r="P31" s="137">
        <f>Q31*0.9</f>
        <v>5.9266214532871907E-5</v>
      </c>
      <c r="Q31" s="137">
        <f>MIN(L31:N31)</f>
        <v>6.5851349480968785E-5</v>
      </c>
      <c r="R31" s="137">
        <f>MAX(L31:N31)</f>
        <v>8.6092128027681652E-5</v>
      </c>
      <c r="S31" s="137">
        <f>R31*1.1</f>
        <v>9.4701340830449828E-5</v>
      </c>
    </row>
    <row r="32" spans="1:19" x14ac:dyDescent="0.2">
      <c r="B32" s="13">
        <f>IF(B$36="DCM",B67,B51)</f>
        <v>9.6764705882352939E-6</v>
      </c>
      <c r="C32" t="s">
        <v>54</v>
      </c>
      <c r="E32" t="s">
        <v>333</v>
      </c>
    </row>
    <row r="33" spans="1:14" x14ac:dyDescent="0.2">
      <c r="A33" t="s">
        <v>94</v>
      </c>
      <c r="B33" s="17">
        <f>IF(B$36="DCM",B68,B52)</f>
        <v>0.30909090909090908</v>
      </c>
      <c r="C33" t="s">
        <v>11</v>
      </c>
      <c r="E33" t="s">
        <v>97</v>
      </c>
    </row>
    <row r="34" spans="1:14" x14ac:dyDescent="0.2">
      <c r="N34" t="s">
        <v>553</v>
      </c>
    </row>
    <row r="35" spans="1:14" x14ac:dyDescent="0.2">
      <c r="A35" t="s">
        <v>534</v>
      </c>
      <c r="B35" s="140" t="str">
        <f>IF(AND(K35&lt;Lm,L35&lt;Lm,M35&lt;Lm),"CCM",IF(AND(K35&gt;Lm,L35&gt;Lm,M35&gt;Lm),"DCM","CCM/DCM"))</f>
        <v>DCM</v>
      </c>
      <c r="E35" t="s">
        <v>517</v>
      </c>
      <c r="K35" s="137">
        <f>VIN_min/(Fsw*2*IOUT)*Dc_CCM_VIN_min*(1-Dc_CCM_VIN_min)</f>
        <v>6.5851349480968785E-5</v>
      </c>
      <c r="L35" s="137">
        <f>IF(AND(B50&lt;0.5,B42&gt;0.5),VIN_min/(Fsw*2*IOUT)*0.5*(1-0.5),VIN_min/(Fsw*2*IOUT)*Dc_CCM_VIN_nom*(1-Dc_CCM_VIN_nom))</f>
        <v>6.8512110726643604E-5</v>
      </c>
      <c r="M35" s="137">
        <f>VIN_min/(Fsw*2*IOUT)*Dc_CCM_VIN_max*(1-Dc_VIN_max)</f>
        <v>7.5134948096885793E-5</v>
      </c>
      <c r="N35" t="b">
        <f>IF(Dc_Mode="CCM",IF(Lm&lt;MAX(K35,L35,M35),TRUE,IF(Lm&gt;MIN(K35,L35,M35),TRUE,FALSE)))</f>
        <v>0</v>
      </c>
    </row>
    <row r="36" spans="1:14" x14ac:dyDescent="0.2">
      <c r="A36" t="s">
        <v>533</v>
      </c>
      <c r="B36" s="139">
        <f>'Design Converter'!H18</f>
        <v>0</v>
      </c>
      <c r="E36" t="s">
        <v>516</v>
      </c>
      <c r="K36" t="str">
        <f>IF(OR(B35="CCM",B35="CCM/DCM"),"CCM","DCM")</f>
        <v>DCM</v>
      </c>
      <c r="L36" t="str">
        <f>IF(B35="CCM/DCM","DCM","")</f>
        <v/>
      </c>
    </row>
    <row r="38" spans="1:14" x14ac:dyDescent="0.2">
      <c r="A38" s="33" t="s">
        <v>495</v>
      </c>
    </row>
    <row r="39" spans="1:14" x14ac:dyDescent="0.2">
      <c r="A39" t="s">
        <v>509</v>
      </c>
      <c r="B39" s="1">
        <f>1-VIN_min/VOUT</f>
        <v>0.97176470588235297</v>
      </c>
      <c r="E39" t="s">
        <v>44</v>
      </c>
    </row>
    <row r="42" spans="1:14" x14ac:dyDescent="0.2">
      <c r="A42" t="s">
        <v>510</v>
      </c>
      <c r="B42" s="1">
        <f>1-VIN_min/VOUT</f>
        <v>0.97176470588235297</v>
      </c>
      <c r="E42" t="s">
        <v>85</v>
      </c>
    </row>
    <row r="43" spans="1:14" x14ac:dyDescent="0.2">
      <c r="B43" s="13">
        <f>B42/Fsw</f>
        <v>9.7176470588235296E-6</v>
      </c>
      <c r="C43" t="s">
        <v>54</v>
      </c>
      <c r="E43" t="s">
        <v>333</v>
      </c>
    </row>
    <row r="44" spans="1:14" x14ac:dyDescent="0.2">
      <c r="A44" t="s">
        <v>511</v>
      </c>
      <c r="B44" s="17">
        <f>(VOUT*IOUT)/(VIN_min)</f>
        <v>0.35416666666666669</v>
      </c>
      <c r="C44" t="s">
        <v>11</v>
      </c>
      <c r="E44" t="s">
        <v>95</v>
      </c>
    </row>
    <row r="46" spans="1:14" x14ac:dyDescent="0.2">
      <c r="A46" t="s">
        <v>512</v>
      </c>
      <c r="B46" s="1">
        <f>1-VIN_nom/VOUT</f>
        <v>0.97058823529411764</v>
      </c>
      <c r="E46" t="s">
        <v>86</v>
      </c>
    </row>
    <row r="47" spans="1:14" x14ac:dyDescent="0.2">
      <c r="B47" s="13">
        <f>B46/Fsw</f>
        <v>9.7058823529411756E-6</v>
      </c>
      <c r="C47" t="s">
        <v>54</v>
      </c>
      <c r="E47" t="s">
        <v>333</v>
      </c>
    </row>
    <row r="48" spans="1:14" x14ac:dyDescent="0.2">
      <c r="A48" t="s">
        <v>513</v>
      </c>
      <c r="B48" s="17">
        <f>(VOUT*IOUT)/(VIN_nom)</f>
        <v>0.33999999999999997</v>
      </c>
      <c r="C48" t="s">
        <v>11</v>
      </c>
      <c r="E48" t="s">
        <v>96</v>
      </c>
    </row>
    <row r="50" spans="1:5" x14ac:dyDescent="0.2">
      <c r="A50" t="s">
        <v>514</v>
      </c>
      <c r="B50" s="1">
        <f>1-VIN_max/VOUT</f>
        <v>0.96764705882352942</v>
      </c>
      <c r="E50" t="s">
        <v>87</v>
      </c>
    </row>
    <row r="51" spans="1:5" x14ac:dyDescent="0.2">
      <c r="B51" s="13">
        <f>B50/Fsw</f>
        <v>9.6764705882352939E-6</v>
      </c>
      <c r="C51" t="s">
        <v>54</v>
      </c>
      <c r="E51" t="s">
        <v>333</v>
      </c>
    </row>
    <row r="52" spans="1:5" x14ac:dyDescent="0.2">
      <c r="A52" t="s">
        <v>515</v>
      </c>
      <c r="B52" s="17">
        <f>(VOUT*IOUT)/(VIN_max)</f>
        <v>0.30909090909090908</v>
      </c>
      <c r="C52" t="s">
        <v>11</v>
      </c>
      <c r="E52" t="s">
        <v>97</v>
      </c>
    </row>
    <row r="54" spans="1:5" x14ac:dyDescent="0.2">
      <c r="A54" s="33" t="s">
        <v>496</v>
      </c>
    </row>
    <row r="55" spans="1:5" x14ac:dyDescent="0.2">
      <c r="A55" t="s">
        <v>497</v>
      </c>
      <c r="B55" s="1">
        <f>1/VIN_min*SQRT(2*Lm*(VOUT-VIN_min)*Fsw*IOUT)</f>
        <v>0.37868559225005877</v>
      </c>
      <c r="E55" t="s">
        <v>44</v>
      </c>
    </row>
    <row r="58" spans="1:5" x14ac:dyDescent="0.2">
      <c r="A58" t="s">
        <v>501</v>
      </c>
      <c r="B58" s="1">
        <f>1/VIN_min*SQRT(2*Lm*(VOUT-VIN_min)*Fsw*IOUT)</f>
        <v>0.37868559225005877</v>
      </c>
      <c r="E58" t="s">
        <v>498</v>
      </c>
    </row>
    <row r="59" spans="1:5" x14ac:dyDescent="0.2">
      <c r="B59" s="13">
        <f>B58/Fsw</f>
        <v>3.7868559225005877E-6</v>
      </c>
      <c r="C59" t="s">
        <v>54</v>
      </c>
      <c r="E59" t="s">
        <v>333</v>
      </c>
    </row>
    <row r="60" spans="1:5" x14ac:dyDescent="0.2">
      <c r="A60" t="s">
        <v>502</v>
      </c>
      <c r="B60" s="17">
        <f>(VOUT*IOUT)/(VIN_min)</f>
        <v>0.35416666666666669</v>
      </c>
      <c r="C60" t="s">
        <v>11</v>
      </c>
      <c r="E60" t="s">
        <v>95</v>
      </c>
    </row>
    <row r="62" spans="1:5" x14ac:dyDescent="0.2">
      <c r="A62" t="s">
        <v>503</v>
      </c>
      <c r="B62" s="1">
        <f>1/VIN_nom*SQRT(2*Lm*(VOUT-VIN_nom)*Fsw*IOUT)</f>
        <v>0.36331804249169897</v>
      </c>
      <c r="E62" t="s">
        <v>499</v>
      </c>
    </row>
    <row r="63" spans="1:5" x14ac:dyDescent="0.2">
      <c r="B63" s="13">
        <f>B62/Fsw</f>
        <v>3.6331804249169898E-6</v>
      </c>
      <c r="C63" t="s">
        <v>54</v>
      </c>
      <c r="E63" t="s">
        <v>333</v>
      </c>
    </row>
    <row r="64" spans="1:5" x14ac:dyDescent="0.2">
      <c r="A64" t="s">
        <v>504</v>
      </c>
      <c r="B64" s="17">
        <f>(VOUT*IOUT)/(VIN_nom)</f>
        <v>0.33999999999999997</v>
      </c>
      <c r="C64" t="s">
        <v>11</v>
      </c>
      <c r="E64" t="s">
        <v>96</v>
      </c>
    </row>
    <row r="66" spans="1:5" x14ac:dyDescent="0.2">
      <c r="A66" t="s">
        <v>505</v>
      </c>
      <c r="B66" s="1">
        <f>1/VIN_max*SQRT(2*Lm*(VOUT-VIN_max)*Fsw*IOUT)</f>
        <v>0.32978831176758278</v>
      </c>
      <c r="E66" t="s">
        <v>500</v>
      </c>
    </row>
    <row r="67" spans="1:5" x14ac:dyDescent="0.2">
      <c r="B67" s="13">
        <f>B66/Fsw</f>
        <v>3.297883117675828E-6</v>
      </c>
      <c r="C67" t="s">
        <v>54</v>
      </c>
      <c r="E67" t="s">
        <v>333</v>
      </c>
    </row>
    <row r="68" spans="1:5" x14ac:dyDescent="0.2">
      <c r="A68" t="s">
        <v>94</v>
      </c>
      <c r="B68" s="17">
        <f>(VOUT*IOUT)/(VIN_max)</f>
        <v>0.30909090909090908</v>
      </c>
      <c r="C68" t="s">
        <v>11</v>
      </c>
      <c r="E68" t="s">
        <v>97</v>
      </c>
    </row>
    <row r="70" spans="1:5" x14ac:dyDescent="0.2">
      <c r="A70" s="19" t="s">
        <v>77</v>
      </c>
    </row>
    <row r="71" spans="1:5" x14ac:dyDescent="0.2">
      <c r="A71" t="s">
        <v>99</v>
      </c>
      <c r="B71" s="3">
        <f>'Design Converter'!H21/100</f>
        <v>0.6</v>
      </c>
      <c r="E71" t="s">
        <v>122</v>
      </c>
    </row>
    <row r="72" spans="1:5" x14ac:dyDescent="0.2">
      <c r="A72" s="22" t="s">
        <v>107</v>
      </c>
    </row>
    <row r="73" spans="1:5" x14ac:dyDescent="0.2">
      <c r="A73" t="s">
        <v>90</v>
      </c>
      <c r="B73" s="25">
        <f>(VIN_min*Dc_VIN_min)/(IL_avg_VIN_min*ILrip*Fsw)</f>
        <v>2.1950449826989619E-4</v>
      </c>
      <c r="C73" t="s">
        <v>98</v>
      </c>
      <c r="E73" t="s">
        <v>91</v>
      </c>
    </row>
    <row r="74" spans="1:5" x14ac:dyDescent="0.2">
      <c r="A74" t="s">
        <v>569</v>
      </c>
      <c r="B74" s="25">
        <f>(VIN_nom*Dc_VIN_nom)/(IL_avg_VIN_nom*ILrip*Fsw)</f>
        <v>2.3788927335640137E-4</v>
      </c>
      <c r="C74" t="s">
        <v>98</v>
      </c>
      <c r="E74" t="s">
        <v>570</v>
      </c>
    </row>
    <row r="75" spans="1:5" x14ac:dyDescent="0.2">
      <c r="A75" t="s">
        <v>568</v>
      </c>
      <c r="B75" s="25">
        <f>(VIN_max*Dc_VIN_max)/(IL_avg_VIN_max*ILrip*Fsw)</f>
        <v>2.8697376009227221E-4</v>
      </c>
      <c r="C75" t="s">
        <v>98</v>
      </c>
      <c r="E75" t="s">
        <v>571</v>
      </c>
    </row>
    <row r="76" spans="1:5" x14ac:dyDescent="0.2">
      <c r="A76" t="s">
        <v>100</v>
      </c>
      <c r="B76" s="25">
        <f>AVERAGE(B73:B75)</f>
        <v>2.4812251057285654E-4</v>
      </c>
      <c r="C76" t="s">
        <v>98</v>
      </c>
      <c r="E76" t="s">
        <v>101</v>
      </c>
    </row>
    <row r="78" spans="1:5" x14ac:dyDescent="0.2">
      <c r="A78" s="22" t="s">
        <v>108</v>
      </c>
    </row>
    <row r="79" spans="1:5" x14ac:dyDescent="0.2">
      <c r="A79" t="s">
        <v>133</v>
      </c>
      <c r="B79" s="12">
        <v>0.33</v>
      </c>
      <c r="C79" t="s">
        <v>13</v>
      </c>
      <c r="E79" t="s">
        <v>132</v>
      </c>
    </row>
    <row r="80" spans="1:5" x14ac:dyDescent="0.2">
      <c r="A80" t="s">
        <v>109</v>
      </c>
      <c r="B80" s="1">
        <f>IF(Dc_VIN_max&lt;Dc_rip_max,VOUT*(1-Dc_rip_max),VOUT*(1-Dc_VIN_max))</f>
        <v>5.4999999999999991</v>
      </c>
      <c r="C80" t="s">
        <v>10</v>
      </c>
      <c r="E80" t="s">
        <v>136</v>
      </c>
    </row>
    <row r="81" spans="1:5" x14ac:dyDescent="0.2">
      <c r="A81" t="s">
        <v>110</v>
      </c>
      <c r="B81" s="16">
        <f>(VOUT*IOUT)/(VIN_33)</f>
        <v>0.30909090909090914</v>
      </c>
      <c r="C81" t="s">
        <v>11</v>
      </c>
      <c r="E81" t="s">
        <v>135</v>
      </c>
    </row>
    <row r="82" spans="1:5" x14ac:dyDescent="0.2">
      <c r="A82" t="s">
        <v>111</v>
      </c>
      <c r="B82" s="25">
        <f>(VIN_33*0.33)/(IIN_33*ILrip*Fsw)</f>
        <v>9.7867647058823504E-5</v>
      </c>
      <c r="C82" t="s">
        <v>98</v>
      </c>
      <c r="E82" t="s">
        <v>134</v>
      </c>
    </row>
    <row r="84" spans="1:5" x14ac:dyDescent="0.2">
      <c r="A84" t="s">
        <v>102</v>
      </c>
      <c r="B84" s="21">
        <f>'Design Converter'!H23*10^-6</f>
        <v>9.9999999999999991E-6</v>
      </c>
      <c r="C84" t="s">
        <v>98</v>
      </c>
      <c r="E84" t="s">
        <v>103</v>
      </c>
    </row>
    <row r="85" spans="1:5" x14ac:dyDescent="0.2">
      <c r="A85" t="s">
        <v>104</v>
      </c>
      <c r="B85" s="3">
        <f>'Design Converter'!H24*10^-3</f>
        <v>3.5000000000000003E-2</v>
      </c>
      <c r="C85" s="2" t="s">
        <v>36</v>
      </c>
      <c r="E85" t="s">
        <v>137</v>
      </c>
    </row>
    <row r="86" spans="1:5" x14ac:dyDescent="0.2">
      <c r="A86" t="s">
        <v>138</v>
      </c>
      <c r="B86" s="12">
        <v>0.2</v>
      </c>
      <c r="C86" s="2"/>
      <c r="E86" t="s">
        <v>139</v>
      </c>
    </row>
    <row r="88" spans="1:5" x14ac:dyDescent="0.2">
      <c r="A88" s="22" t="s">
        <v>573</v>
      </c>
      <c r="C88" s="2"/>
    </row>
    <row r="89" spans="1:5" x14ac:dyDescent="0.2">
      <c r="A89" t="s">
        <v>574</v>
      </c>
      <c r="B89" s="227">
        <f>VIN_min/(2*Fsw*IOUT)*(1-VIN_min/VOUT)*(1-(1-VIN_min/VOUT))</f>
        <v>6.5851349480968785E-5</v>
      </c>
      <c r="C89" s="2"/>
    </row>
    <row r="90" spans="1:5" x14ac:dyDescent="0.2">
      <c r="C90" s="2"/>
    </row>
    <row r="91" spans="1:5" x14ac:dyDescent="0.2">
      <c r="A91" s="22" t="s">
        <v>495</v>
      </c>
      <c r="C91" s="2"/>
    </row>
    <row r="92" spans="1:5" x14ac:dyDescent="0.2">
      <c r="A92" t="s">
        <v>115</v>
      </c>
      <c r="B92" s="16">
        <f>(VIN_min*Dc_VIN_min)/(Lm*Fsw)</f>
        <v>4.6644705882352948</v>
      </c>
      <c r="C92" t="s">
        <v>11</v>
      </c>
      <c r="E92" t="s">
        <v>116</v>
      </c>
    </row>
    <row r="93" spans="1:5" x14ac:dyDescent="0.2">
      <c r="A93" t="s">
        <v>113</v>
      </c>
      <c r="B93" s="16">
        <f>(IL_avg_VIN_min/EFF_est)+(ILrip_VINmin/2)</f>
        <v>2.7489019607843139</v>
      </c>
      <c r="C93" t="s">
        <v>11</v>
      </c>
      <c r="E93" t="s">
        <v>114</v>
      </c>
    </row>
    <row r="95" spans="1:5" x14ac:dyDescent="0.2">
      <c r="A95" t="s">
        <v>117</v>
      </c>
      <c r="B95" s="16">
        <f>(VIN_nom*Dc_VIN_nom)/(Lm*Fsw)</f>
        <v>4.8529411764705888</v>
      </c>
      <c r="C95" t="s">
        <v>11</v>
      </c>
      <c r="E95" t="s">
        <v>123</v>
      </c>
    </row>
    <row r="96" spans="1:5" x14ac:dyDescent="0.2">
      <c r="A96" t="s">
        <v>118</v>
      </c>
      <c r="B96" s="16">
        <f>(IL_avg_VIN_nom/EFF_est)+(ILrip_VINnom/2)</f>
        <v>2.8264705882352943</v>
      </c>
      <c r="C96" t="s">
        <v>11</v>
      </c>
      <c r="E96" t="s">
        <v>124</v>
      </c>
    </row>
    <row r="98" spans="1:5" x14ac:dyDescent="0.2">
      <c r="A98" t="s">
        <v>119</v>
      </c>
      <c r="B98" s="16">
        <f>(VIN_max*Dc_VIN_max)/(Lm*Fsw)</f>
        <v>5.3220588235294128</v>
      </c>
      <c r="C98" t="s">
        <v>11</v>
      </c>
      <c r="E98" t="s">
        <v>125</v>
      </c>
    </row>
    <row r="99" spans="1:5" x14ac:dyDescent="0.2">
      <c r="A99" t="s">
        <v>120</v>
      </c>
      <c r="B99" s="16">
        <f>(IL_avg_VIN_max/EFF_est)+(ILrip_VINmax/2)</f>
        <v>3.0246657754010702</v>
      </c>
      <c r="C99" t="s">
        <v>11</v>
      </c>
      <c r="E99" t="s">
        <v>126</v>
      </c>
    </row>
    <row r="100" spans="1:5" x14ac:dyDescent="0.2">
      <c r="C100" s="2"/>
    </row>
    <row r="101" spans="1:5" x14ac:dyDescent="0.2">
      <c r="A101" s="22" t="s">
        <v>496</v>
      </c>
      <c r="C101" s="2"/>
    </row>
    <row r="102" spans="1:5" x14ac:dyDescent="0.2">
      <c r="A102" t="s">
        <v>115</v>
      </c>
      <c r="B102" s="16">
        <f>(VIN_min*Dc_VIN_min)/(Lm*Fsw)</f>
        <v>4.6644705882352948</v>
      </c>
      <c r="C102" t="s">
        <v>11</v>
      </c>
      <c r="E102" t="s">
        <v>116</v>
      </c>
    </row>
    <row r="103" spans="1:5" x14ac:dyDescent="0.2">
      <c r="A103" t="s">
        <v>113</v>
      </c>
      <c r="B103" s="16">
        <f>B102</f>
        <v>4.6644705882352948</v>
      </c>
      <c r="C103" t="s">
        <v>11</v>
      </c>
      <c r="E103" t="s">
        <v>114</v>
      </c>
    </row>
    <row r="105" spans="1:5" x14ac:dyDescent="0.2">
      <c r="A105" t="s">
        <v>117</v>
      </c>
      <c r="B105" s="16">
        <f>(VIN_nom*Dc_VIN_nom)/(Lm*Fsw)</f>
        <v>4.8529411764705888</v>
      </c>
      <c r="C105" t="s">
        <v>11</v>
      </c>
      <c r="E105" t="s">
        <v>123</v>
      </c>
    </row>
    <row r="106" spans="1:5" x14ac:dyDescent="0.2">
      <c r="A106" t="s">
        <v>118</v>
      </c>
      <c r="B106" s="16">
        <f>B105</f>
        <v>4.8529411764705888</v>
      </c>
      <c r="C106" t="s">
        <v>11</v>
      </c>
      <c r="E106" t="s">
        <v>124</v>
      </c>
    </row>
    <row r="108" spans="1:5" x14ac:dyDescent="0.2">
      <c r="A108" t="s">
        <v>119</v>
      </c>
      <c r="B108" s="16">
        <f>(VIN_max*Dc_VIN_max)/(Lm*Fsw)</f>
        <v>5.3220588235294128</v>
      </c>
      <c r="C108" t="s">
        <v>11</v>
      </c>
      <c r="E108" t="s">
        <v>125</v>
      </c>
    </row>
    <row r="109" spans="1:5" x14ac:dyDescent="0.2">
      <c r="A109" t="s">
        <v>120</v>
      </c>
      <c r="B109" s="16">
        <f>B108</f>
        <v>5.3220588235294128</v>
      </c>
      <c r="C109" t="s">
        <v>11</v>
      </c>
      <c r="E109" t="s">
        <v>126</v>
      </c>
    </row>
    <row r="110" spans="1:5" x14ac:dyDescent="0.2">
      <c r="C110" s="2"/>
    </row>
    <row r="111" spans="1:5" x14ac:dyDescent="0.2">
      <c r="A111" s="22" t="s">
        <v>324</v>
      </c>
      <c r="B111" t="s">
        <v>112</v>
      </c>
    </row>
    <row r="112" spans="1:5" x14ac:dyDescent="0.2">
      <c r="A112" t="s">
        <v>115</v>
      </c>
      <c r="B112" s="16">
        <f>IF(B$36="CCM",B92,B102)</f>
        <v>4.6644705882352948</v>
      </c>
      <c r="C112" t="s">
        <v>11</v>
      </c>
      <c r="E112" t="s">
        <v>116</v>
      </c>
    </row>
    <row r="113" spans="1:13" x14ac:dyDescent="0.2">
      <c r="A113" t="s">
        <v>113</v>
      </c>
      <c r="B113" s="16">
        <f>IF(B$36="CCM",B93,B103)</f>
        <v>4.6644705882352948</v>
      </c>
      <c r="C113" t="s">
        <v>11</v>
      </c>
      <c r="E113" t="s">
        <v>114</v>
      </c>
    </row>
    <row r="115" spans="1:13" x14ac:dyDescent="0.2">
      <c r="A115" t="s">
        <v>117</v>
      </c>
      <c r="B115" s="16">
        <f>IF(B$36="CCM",B95,B105)</f>
        <v>4.8529411764705888</v>
      </c>
      <c r="C115" t="s">
        <v>11</v>
      </c>
      <c r="E115" t="s">
        <v>123</v>
      </c>
    </row>
    <row r="116" spans="1:13" x14ac:dyDescent="0.2">
      <c r="A116" t="s">
        <v>118</v>
      </c>
      <c r="B116" s="16">
        <f>IF(B$36="CCM",B96,B106)</f>
        <v>4.8529411764705888</v>
      </c>
      <c r="C116" t="s">
        <v>11</v>
      </c>
      <c r="E116" t="s">
        <v>124</v>
      </c>
    </row>
    <row r="118" spans="1:13" x14ac:dyDescent="0.2">
      <c r="A118" t="s">
        <v>119</v>
      </c>
      <c r="B118" s="16">
        <f>IF(B$36="CCM",B98,B108)</f>
        <v>5.3220588235294128</v>
      </c>
      <c r="C118" t="s">
        <v>11</v>
      </c>
      <c r="E118" t="s">
        <v>125</v>
      </c>
    </row>
    <row r="119" spans="1:13" x14ac:dyDescent="0.2">
      <c r="A119" t="s">
        <v>120</v>
      </c>
      <c r="B119" s="16">
        <f>IF(B$36="CCM",B99,B109)</f>
        <v>5.3220588235294128</v>
      </c>
      <c r="C119" t="s">
        <v>11</v>
      </c>
      <c r="E119" t="s">
        <v>126</v>
      </c>
    </row>
    <row r="121" spans="1:13" x14ac:dyDescent="0.2">
      <c r="A121" s="19" t="s">
        <v>121</v>
      </c>
    </row>
    <row r="122" spans="1:13" x14ac:dyDescent="0.2">
      <c r="A122" t="s">
        <v>128</v>
      </c>
      <c r="B122" s="3">
        <f>'Design Converter'!H28/100</f>
        <v>0.2</v>
      </c>
      <c r="E122" t="s">
        <v>129</v>
      </c>
    </row>
    <row r="123" spans="1:13" x14ac:dyDescent="0.2">
      <c r="A123" t="s">
        <v>130</v>
      </c>
      <c r="B123" s="17">
        <f>(1+Ipk_margin)*ILp_VINmin</f>
        <v>5.5973647058823532</v>
      </c>
      <c r="C123" t="s">
        <v>11</v>
      </c>
      <c r="E123" t="s">
        <v>131</v>
      </c>
    </row>
    <row r="124" spans="1:13" x14ac:dyDescent="0.2">
      <c r="B124" s="17"/>
    </row>
    <row r="125" spans="1:13" x14ac:dyDescent="0.2">
      <c r="A125" t="s">
        <v>142</v>
      </c>
      <c r="B125" s="12">
        <v>0.6</v>
      </c>
      <c r="E125" t="s">
        <v>143</v>
      </c>
      <c r="J125">
        <f>Fsw*Isl*Rsl_int*Lm</f>
        <v>3.9989999999999991E-2</v>
      </c>
    </row>
    <row r="126" spans="1:13" x14ac:dyDescent="0.2">
      <c r="J126">
        <f>Isl</f>
        <v>2.9999999999999997E-5</v>
      </c>
      <c r="K126">
        <f>Fsw</f>
        <v>100000</v>
      </c>
      <c r="L126">
        <f>Lm</f>
        <v>9.9999999999999991E-6</v>
      </c>
      <c r="M126">
        <f>Rsl_int</f>
        <v>1333</v>
      </c>
    </row>
    <row r="127" spans="1:13" x14ac:dyDescent="0.2">
      <c r="A127" t="s">
        <v>140</v>
      </c>
      <c r="B127" s="25">
        <f>(1/B125)*((Fsw*Isl*Rsl_int*Lm)/(VOUT-VIN_min))</f>
        <v>4.0345036319612587E-4</v>
      </c>
      <c r="C127" s="2" t="s">
        <v>36</v>
      </c>
      <c r="E127" t="s">
        <v>141</v>
      </c>
    </row>
    <row r="128" spans="1:13" x14ac:dyDescent="0.2">
      <c r="A128" t="s">
        <v>148</v>
      </c>
      <c r="B128" s="25">
        <f>Vcl/Ipk_selected</f>
        <v>1.7865550174872208E-2</v>
      </c>
      <c r="C128" s="2" t="s">
        <v>36</v>
      </c>
      <c r="E128" t="s">
        <v>149</v>
      </c>
    </row>
    <row r="130" spans="1:11" x14ac:dyDescent="0.2">
      <c r="A130" t="s">
        <v>155</v>
      </c>
      <c r="B130" s="12">
        <v>0.83299999999999996</v>
      </c>
      <c r="E130" t="s">
        <v>156</v>
      </c>
    </row>
    <row r="131" spans="1:11" x14ac:dyDescent="0.2">
      <c r="A131" t="s">
        <v>154</v>
      </c>
      <c r="B131" s="24">
        <f>(Lm*Fsw*(Vcl+(Dc_VIN_min*Isl*Rsl_int)))/((Dc_VIN_min*Kslope*VOUT)-(Dc_VIN_min*Kslope*VIN_min)+(Ipk_selected*Lm*Fsw))</f>
        <v>9.9667973997126275E-4</v>
      </c>
      <c r="C131" s="2" t="s">
        <v>36</v>
      </c>
      <c r="E131" t="s">
        <v>165</v>
      </c>
    </row>
    <row r="132" spans="1:11" x14ac:dyDescent="0.2">
      <c r="A132" t="s">
        <v>157</v>
      </c>
      <c r="B132" s="16">
        <f>(Vcl-(Ipk_selected*Rcs_w_sl))/(Isl*Dc_VIN_min)</f>
        <v>3238.8231235009821</v>
      </c>
      <c r="C132" s="2" t="s">
        <v>36</v>
      </c>
      <c r="E132" t="s">
        <v>164</v>
      </c>
    </row>
    <row r="134" spans="1:11" x14ac:dyDescent="0.2">
      <c r="A134" t="s">
        <v>152</v>
      </c>
      <c r="B134" s="1">
        <f>IF(AND(Rcs_wo_sl&gt;Rcs_max,OR(B36="CCM",B36="CCM/DCM")),1,0)</f>
        <v>0</v>
      </c>
      <c r="E134" t="s">
        <v>153</v>
      </c>
    </row>
    <row r="135" spans="1:11" x14ac:dyDescent="0.2">
      <c r="A135" t="s">
        <v>158</v>
      </c>
      <c r="B135" s="27">
        <f>IF(B134=0,Rcs_wo_sl,Rcs_w_sl)</f>
        <v>1.7865550174872208E-2</v>
      </c>
      <c r="C135" s="2" t="s">
        <v>36</v>
      </c>
      <c r="E135" t="s">
        <v>162</v>
      </c>
    </row>
    <row r="136" spans="1:11" x14ac:dyDescent="0.2">
      <c r="A136" t="s">
        <v>159</v>
      </c>
      <c r="B136" s="1">
        <f>IF(K136&gt;Rsl_max,Rsl_max,K136)</f>
        <v>0</v>
      </c>
      <c r="C136" s="2" t="s">
        <v>36</v>
      </c>
      <c r="E136" t="s">
        <v>163</v>
      </c>
      <c r="K136">
        <f>IF(B134=0,0,B132)</f>
        <v>0</v>
      </c>
    </row>
    <row r="138" spans="1:11" x14ac:dyDescent="0.2">
      <c r="A138" t="s">
        <v>160</v>
      </c>
      <c r="B138" s="28">
        <f>'Design Converter'!H32/1000</f>
        <v>4.7E-2</v>
      </c>
      <c r="C138" s="2" t="s">
        <v>36</v>
      </c>
      <c r="E138" t="s">
        <v>167</v>
      </c>
    </row>
    <row r="139" spans="1:11" x14ac:dyDescent="0.2">
      <c r="A139" t="s">
        <v>161</v>
      </c>
      <c r="B139" s="3">
        <f>'Design Converter'!H33</f>
        <v>0</v>
      </c>
      <c r="C139" s="2" t="s">
        <v>36</v>
      </c>
      <c r="E139" t="s">
        <v>168</v>
      </c>
    </row>
    <row r="141" spans="1:11" x14ac:dyDescent="0.2">
      <c r="A141" t="s">
        <v>172</v>
      </c>
      <c r="B141" s="1">
        <f>(Isl*(Rsl_int+R_sl)*Fsw)/(((VOUT-VIN_min)/Lm)*R_cs)</f>
        <v>5.1504301684611817E-3</v>
      </c>
      <c r="C141" t="s">
        <v>180</v>
      </c>
      <c r="E141" t="s">
        <v>170</v>
      </c>
      <c r="K141">
        <f>IF(B141&lt;0.5,1,0)</f>
        <v>1</v>
      </c>
    </row>
    <row r="142" spans="1:11" x14ac:dyDescent="0.2">
      <c r="A142" t="s">
        <v>174</v>
      </c>
      <c r="B142" s="17">
        <f>(Vcl-(Isl*R_sl*Dc_VIN_min))/R_cs</f>
        <v>2.1276595744680851</v>
      </c>
      <c r="C142" t="s">
        <v>11</v>
      </c>
      <c r="E142" t="s">
        <v>176</v>
      </c>
      <c r="K142">
        <f>IF(IL_pk&lt;Ipk_selected,1,0)</f>
        <v>1</v>
      </c>
    </row>
    <row r="143" spans="1:11" x14ac:dyDescent="0.2">
      <c r="A143" t="s">
        <v>175</v>
      </c>
      <c r="B143" s="17">
        <f>(Vcl-(Isl*R_sl*Dc_VIN_max))/R_cs</f>
        <v>2.1276595744680851</v>
      </c>
      <c r="C143" t="s">
        <v>11</v>
      </c>
      <c r="E143" t="s">
        <v>177</v>
      </c>
    </row>
    <row r="144" spans="1:11" x14ac:dyDescent="0.2">
      <c r="A144" t="s">
        <v>178</v>
      </c>
      <c r="B144" s="1">
        <f>0.15</f>
        <v>0.15</v>
      </c>
      <c r="E144" t="s">
        <v>179</v>
      </c>
    </row>
    <row r="145" spans="1:5" x14ac:dyDescent="0.2">
      <c r="A145" t="s">
        <v>181</v>
      </c>
      <c r="B145" s="16">
        <f>(1+B144)*B143</f>
        <v>2.4468085106382977</v>
      </c>
      <c r="C145" t="s">
        <v>11</v>
      </c>
      <c r="E145" t="s">
        <v>182</v>
      </c>
    </row>
    <row r="147" spans="1:5" x14ac:dyDescent="0.2">
      <c r="A147" s="22" t="s">
        <v>183</v>
      </c>
    </row>
    <row r="148" spans="1:5" x14ac:dyDescent="0.2">
      <c r="A148" t="s">
        <v>184</v>
      </c>
    </row>
    <row r="150" spans="1:5" x14ac:dyDescent="0.2">
      <c r="A150" s="30" t="s">
        <v>185</v>
      </c>
    </row>
    <row r="152" spans="1:5" x14ac:dyDescent="0.2">
      <c r="A152" t="s">
        <v>190</v>
      </c>
      <c r="B152" s="31">
        <f>'Design Converter'!H38/1000</f>
        <v>0.1</v>
      </c>
      <c r="C152" t="s">
        <v>10</v>
      </c>
      <c r="E152" t="s">
        <v>189</v>
      </c>
    </row>
    <row r="153" spans="1:5" x14ac:dyDescent="0.2">
      <c r="A153" t="s">
        <v>192</v>
      </c>
      <c r="B153" s="1">
        <f>IOUT*Dc_VIN_min/(Fsw*Vout_rip_sel)</f>
        <v>9.7176470588235309E-7</v>
      </c>
      <c r="C153" t="s">
        <v>193</v>
      </c>
      <c r="E153" t="s">
        <v>194</v>
      </c>
    </row>
    <row r="154" spans="1:5" x14ac:dyDescent="0.2">
      <c r="A154" t="s">
        <v>196</v>
      </c>
      <c r="B154" s="16">
        <f>SQRT((1-Dc_VIN_min)*((IOUT^2)*(Dc_VIN_min/((1-Dc_VIN_min)^2))+((ILrip_VINmin^2)/3)))</f>
        <v>0.45630704783042925</v>
      </c>
      <c r="C154" t="s">
        <v>11</v>
      </c>
      <c r="E154" t="s">
        <v>197</v>
      </c>
    </row>
    <row r="155" spans="1:5" x14ac:dyDescent="0.2">
      <c r="A155" t="s">
        <v>202</v>
      </c>
      <c r="B155" s="3">
        <f>'Design Converter'!H41*(10^-6)</f>
        <v>1.1999999999999999E-4</v>
      </c>
      <c r="C155" t="s">
        <v>193</v>
      </c>
      <c r="E155" t="s">
        <v>200</v>
      </c>
    </row>
    <row r="156" spans="1:5" x14ac:dyDescent="0.2">
      <c r="A156" t="s">
        <v>199</v>
      </c>
      <c r="B156" s="3">
        <f>'Design Converter'!H42/1000</f>
        <v>2E-3</v>
      </c>
      <c r="C156" s="2" t="s">
        <v>36</v>
      </c>
      <c r="E156" t="s">
        <v>201</v>
      </c>
    </row>
    <row r="157" spans="1:5" x14ac:dyDescent="0.2">
      <c r="A157" t="s">
        <v>331</v>
      </c>
      <c r="B157">
        <f>SQRT((IOUT^2)+(IL_avg_VIN_min^2)-(2*IOUT*IL_avg_VIN_min)-(2*Dc_VIN_min*(IOUT^2))-(Dc_VIN_min*(IL_avg_VIN_min^2))+(2*Dc_VIN_min*IOUT*IL_avg_VIN_min))</f>
        <v>5.6985206198540625E-2</v>
      </c>
      <c r="E157" s="38" t="s">
        <v>332</v>
      </c>
    </row>
    <row r="159" spans="1:5" x14ac:dyDescent="0.2">
      <c r="A159" s="30" t="s">
        <v>350</v>
      </c>
    </row>
    <row r="160" spans="1:5" x14ac:dyDescent="0.2">
      <c r="A160" t="s">
        <v>335</v>
      </c>
      <c r="B160" s="12">
        <f>Iss</f>
        <v>9.9999999999999991E-6</v>
      </c>
      <c r="C160" t="s">
        <v>11</v>
      </c>
      <c r="E160" t="s">
        <v>337</v>
      </c>
    </row>
    <row r="161" spans="1:5" x14ac:dyDescent="0.2">
      <c r="A161" t="s">
        <v>338</v>
      </c>
      <c r="B161" s="1">
        <f>Iss*VOUT*Cout/(Vref*IOUT)</f>
        <v>2.0399999999999998E-5</v>
      </c>
      <c r="C161" t="s">
        <v>193</v>
      </c>
      <c r="E161" t="s">
        <v>339</v>
      </c>
    </row>
    <row r="162" spans="1:5" x14ac:dyDescent="0.2">
      <c r="A162" t="s">
        <v>340</v>
      </c>
      <c r="B162" s="3">
        <f>'Design Converter'!H46*(10^-3)</f>
        <v>0.5</v>
      </c>
      <c r="C162" t="s">
        <v>54</v>
      </c>
      <c r="E162" t="s">
        <v>341</v>
      </c>
    </row>
    <row r="163" spans="1:5" x14ac:dyDescent="0.2">
      <c r="A163" t="s">
        <v>344</v>
      </c>
      <c r="B163" s="1">
        <f>(tss*Iss)/(Vref*(1-(VIN_min/VOUT)))</f>
        <v>5.1452784503631951E-6</v>
      </c>
      <c r="C163" t="s">
        <v>193</v>
      </c>
      <c r="E163" t="s">
        <v>345</v>
      </c>
    </row>
    <row r="165" spans="1:5" x14ac:dyDescent="0.2">
      <c r="A165" s="30" t="s">
        <v>349</v>
      </c>
    </row>
    <row r="166" spans="1:5" x14ac:dyDescent="0.2">
      <c r="A166" t="s">
        <v>351</v>
      </c>
      <c r="B166" s="3">
        <f>'Design Converter'!H50</f>
        <v>4.5</v>
      </c>
      <c r="C166" t="s">
        <v>10</v>
      </c>
      <c r="E166" t="s">
        <v>353</v>
      </c>
    </row>
    <row r="167" spans="1:5" x14ac:dyDescent="0.2">
      <c r="A167" t="s">
        <v>352</v>
      </c>
      <c r="B167" s="3">
        <f>'Design Converter'!H51</f>
        <v>4.0999999999999996</v>
      </c>
      <c r="C167" t="s">
        <v>10</v>
      </c>
      <c r="E167" t="s">
        <v>354</v>
      </c>
    </row>
    <row r="168" spans="1:5" x14ac:dyDescent="0.2">
      <c r="A168" t="s">
        <v>356</v>
      </c>
      <c r="B168" s="12">
        <f>UV_rise</f>
        <v>1.5</v>
      </c>
      <c r="C168" t="s">
        <v>10</v>
      </c>
      <c r="E168" t="s">
        <v>361</v>
      </c>
    </row>
    <row r="169" spans="1:5" x14ac:dyDescent="0.2">
      <c r="A169" t="s">
        <v>357</v>
      </c>
      <c r="B169" s="12">
        <f>UV_fall</f>
        <v>1.45</v>
      </c>
      <c r="C169" t="s">
        <v>10</v>
      </c>
      <c r="E169" t="s">
        <v>360</v>
      </c>
    </row>
    <row r="170" spans="1:5" x14ac:dyDescent="0.2">
      <c r="A170" t="s">
        <v>362</v>
      </c>
      <c r="B170" s="12">
        <f>UV_I_hyst</f>
        <v>4.9999999999999996E-6</v>
      </c>
      <c r="C170" t="s">
        <v>11</v>
      </c>
      <c r="E170" t="s">
        <v>364</v>
      </c>
    </row>
    <row r="171" spans="1:5" x14ac:dyDescent="0.2">
      <c r="A171" t="s">
        <v>365</v>
      </c>
      <c r="B171" s="18">
        <f>((Vuvlo_on*0.967)-Vuvlo_off)/(UV_I_hyst)</f>
        <v>50300.000000000015</v>
      </c>
      <c r="C171" s="2" t="s">
        <v>36</v>
      </c>
      <c r="E171" t="s">
        <v>466</v>
      </c>
    </row>
    <row r="172" spans="1:5" x14ac:dyDescent="0.2">
      <c r="A172" t="s">
        <v>365</v>
      </c>
      <c r="B172" s="3">
        <f>'Design Converter'!H53*1000</f>
        <v>15000</v>
      </c>
      <c r="C172" s="2" t="s">
        <v>36</v>
      </c>
      <c r="E172" t="s">
        <v>467</v>
      </c>
    </row>
    <row r="173" spans="1:5" x14ac:dyDescent="0.2">
      <c r="A173" t="s">
        <v>366</v>
      </c>
      <c r="B173" s="18">
        <f>UV_rise*Ruvlo_top/(Vuvlo_on-UV_rise)</f>
        <v>7500</v>
      </c>
      <c r="C173" s="2" t="s">
        <v>36</v>
      </c>
      <c r="E173" t="s">
        <v>468</v>
      </c>
    </row>
    <row r="174" spans="1:5" x14ac:dyDescent="0.2">
      <c r="A174" t="s">
        <v>367</v>
      </c>
      <c r="B174" s="17">
        <f>UV_rise*(Ruvlo_top+Ruvlo_bottom_calc)/Ruvlo_bottom_calc</f>
        <v>4.5</v>
      </c>
      <c r="E174" t="s">
        <v>369</v>
      </c>
    </row>
    <row r="175" spans="1:5" x14ac:dyDescent="0.2">
      <c r="A175" t="s">
        <v>368</v>
      </c>
      <c r="B175" s="17">
        <f>Ruvlo_top*((UV_fall/Ruvlo_top)-(UV_I_hyst)+(UV_fall/Ruvlo_bottom_calc))</f>
        <v>4.2749999999999995</v>
      </c>
      <c r="E175" t="s">
        <v>370</v>
      </c>
    </row>
    <row r="178" spans="1:5" x14ac:dyDescent="0.2">
      <c r="A178" s="30" t="s">
        <v>204</v>
      </c>
    </row>
    <row r="179" spans="1:5" x14ac:dyDescent="0.2">
      <c r="A179" s="34" t="s">
        <v>232</v>
      </c>
      <c r="B179" s="3" t="str">
        <f>'Design Converter'!H57</f>
        <v>5V</v>
      </c>
      <c r="C179" t="s">
        <v>10</v>
      </c>
      <c r="E179" t="s">
        <v>276</v>
      </c>
    </row>
    <row r="180" spans="1:5" x14ac:dyDescent="0.2">
      <c r="A180" s="34"/>
    </row>
    <row r="181" spans="1:5" x14ac:dyDescent="0.2">
      <c r="A181" s="33" t="s">
        <v>291</v>
      </c>
    </row>
    <row r="182" spans="1:5" x14ac:dyDescent="0.2">
      <c r="A182" t="s">
        <v>224</v>
      </c>
      <c r="B182" s="3">
        <f>'Design Converter'!H60*(10^3)</f>
        <v>50000</v>
      </c>
      <c r="C182" s="2" t="s">
        <v>36</v>
      </c>
      <c r="E182" t="s">
        <v>277</v>
      </c>
    </row>
    <row r="183" spans="1:5" x14ac:dyDescent="0.2">
      <c r="A183" t="s">
        <v>281</v>
      </c>
      <c r="B183" s="18">
        <f>(RFBT*Vref)/(VOUT-Vref)</f>
        <v>295.85798816568047</v>
      </c>
      <c r="C183" s="2" t="s">
        <v>36</v>
      </c>
      <c r="E183" t="s">
        <v>284</v>
      </c>
    </row>
    <row r="184" spans="1:5" x14ac:dyDescent="0.2">
      <c r="A184" t="s">
        <v>225</v>
      </c>
      <c r="B184" s="3">
        <f>'Design Converter'!H62*(10^3)</f>
        <v>300</v>
      </c>
      <c r="C184" s="2" t="s">
        <v>36</v>
      </c>
      <c r="E184" t="s">
        <v>285</v>
      </c>
    </row>
    <row r="185" spans="1:5" x14ac:dyDescent="0.2">
      <c r="A185" t="s">
        <v>286</v>
      </c>
      <c r="B185" s="1">
        <f>VOUT/(RFBB+RFBT)</f>
        <v>3.3797216699801192E-3</v>
      </c>
      <c r="C185" s="2" t="s">
        <v>11</v>
      </c>
      <c r="E185" t="s">
        <v>287</v>
      </c>
    </row>
    <row r="186" spans="1:5" x14ac:dyDescent="0.2">
      <c r="C186" s="2"/>
    </row>
    <row r="187" spans="1:5" x14ac:dyDescent="0.2">
      <c r="A187" s="33" t="s">
        <v>292</v>
      </c>
      <c r="E187" t="s">
        <v>457</v>
      </c>
    </row>
    <row r="189" spans="1:5" x14ac:dyDescent="0.2">
      <c r="A189" t="s">
        <v>470</v>
      </c>
      <c r="B189">
        <f>(Gcomp*(VIN_min/VOUT)*(VOUT/IOUT))/(2*R_cs*Acs)</f>
        <v>740.42553191489344</v>
      </c>
    </row>
    <row r="191" spans="1:5" x14ac:dyDescent="0.2">
      <c r="A191" t="s">
        <v>471</v>
      </c>
      <c r="B191" s="12">
        <f>2/(Cout*(VOUT/IOUT))</f>
        <v>0.98039215686274506</v>
      </c>
      <c r="C191" t="s">
        <v>454</v>
      </c>
      <c r="E191" t="s">
        <v>453</v>
      </c>
    </row>
    <row r="192" spans="1:5" x14ac:dyDescent="0.2">
      <c r="A192" t="s">
        <v>472</v>
      </c>
      <c r="B192" s="1">
        <f>B191/(2*PI())</f>
        <v>0.15603425793323072</v>
      </c>
      <c r="C192" t="s">
        <v>69</v>
      </c>
      <c r="E192" t="s">
        <v>288</v>
      </c>
    </row>
    <row r="194" spans="1:5" x14ac:dyDescent="0.2">
      <c r="A194" t="s">
        <v>473</v>
      </c>
      <c r="B194" s="12">
        <f>1/(Cout*Resr)</f>
        <v>4166666.666666667</v>
      </c>
      <c r="C194" t="s">
        <v>455</v>
      </c>
      <c r="E194" t="s">
        <v>456</v>
      </c>
    </row>
    <row r="195" spans="1:5" x14ac:dyDescent="0.2">
      <c r="A195" t="s">
        <v>474</v>
      </c>
      <c r="B195" s="1">
        <f>B194/(2*PI())</f>
        <v>663145.59621623065</v>
      </c>
      <c r="C195" t="s">
        <v>69</v>
      </c>
      <c r="E195" t="s">
        <v>290</v>
      </c>
    </row>
    <row r="197" spans="1:5" x14ac:dyDescent="0.2">
      <c r="A197" t="s">
        <v>475</v>
      </c>
      <c r="B197" s="12">
        <f>((VOUT/IOUT)*((VIN_min/VOUT)^2))/(Lm)</f>
        <v>1355294.1176470588</v>
      </c>
      <c r="E197" t="s">
        <v>452</v>
      </c>
    </row>
    <row r="198" spans="1:5" x14ac:dyDescent="0.2">
      <c r="A198" t="s">
        <v>476</v>
      </c>
      <c r="B198" s="18">
        <f>B197/(2*PI())</f>
        <v>215701.75816689816</v>
      </c>
      <c r="C198" t="s">
        <v>69</v>
      </c>
      <c r="E198" t="s">
        <v>289</v>
      </c>
    </row>
    <row r="199" spans="1:5" x14ac:dyDescent="0.2">
      <c r="B199">
        <f>Fsw/10</f>
        <v>10000</v>
      </c>
      <c r="C199" t="s">
        <v>69</v>
      </c>
      <c r="E199" t="s">
        <v>297</v>
      </c>
    </row>
    <row r="200" spans="1:5" x14ac:dyDescent="0.2">
      <c r="B200">
        <f>IF((B198/5)&lt;(B199),0,1)</f>
        <v>1</v>
      </c>
      <c r="E200" t="s">
        <v>299</v>
      </c>
    </row>
    <row r="202" spans="1:5" x14ac:dyDescent="0.2">
      <c r="A202" t="s">
        <v>477</v>
      </c>
      <c r="B202" s="1">
        <f>(Isl*(Rsl_int+R_sl)*Fsw)</f>
        <v>3999</v>
      </c>
      <c r="C202" t="s">
        <v>180</v>
      </c>
      <c r="E202" t="s">
        <v>248</v>
      </c>
    </row>
    <row r="203" spans="1:5" x14ac:dyDescent="0.2">
      <c r="A203" t="s">
        <v>478</v>
      </c>
      <c r="B203" s="1">
        <f>(R_cs*VIN_min*Acs)/Lm</f>
        <v>22560</v>
      </c>
      <c r="C203" t="s">
        <v>180</v>
      </c>
      <c r="E203" t="s">
        <v>249</v>
      </c>
    </row>
    <row r="204" spans="1:5" x14ac:dyDescent="0.2">
      <c r="B204" s="1"/>
    </row>
    <row r="205" spans="1:5" x14ac:dyDescent="0.2">
      <c r="A205" t="s">
        <v>479</v>
      </c>
      <c r="B205" s="1">
        <f>2*PI()*Fsw</f>
        <v>628318.53071795858</v>
      </c>
      <c r="C205" t="s">
        <v>251</v>
      </c>
    </row>
    <row r="206" spans="1:5" x14ac:dyDescent="0.2">
      <c r="A206" t="s">
        <v>480</v>
      </c>
      <c r="B206" s="1">
        <f>1/(PI()*(((VIN_min/VOUT)*(1+(B202/B203)))-0.5))</f>
        <v>-0.68195666086820361</v>
      </c>
    </row>
    <row r="212" spans="1:5" x14ac:dyDescent="0.2">
      <c r="A212" t="s">
        <v>293</v>
      </c>
      <c r="B212" s="17">
        <f>IF(B200=0,fz_rhp/5,Fsw/10)</f>
        <v>10000</v>
      </c>
      <c r="C212" t="s">
        <v>69</v>
      </c>
      <c r="E212" t="s">
        <v>298</v>
      </c>
    </row>
    <row r="213" spans="1:5" x14ac:dyDescent="0.2">
      <c r="A213" t="s">
        <v>295</v>
      </c>
      <c r="B213" s="3">
        <f>'Design Converter'!H66*1000</f>
        <v>1000</v>
      </c>
      <c r="C213" t="s">
        <v>69</v>
      </c>
      <c r="E213" t="s">
        <v>296</v>
      </c>
    </row>
    <row r="215" spans="1:5" x14ac:dyDescent="0.2">
      <c r="A215" t="s">
        <v>304</v>
      </c>
      <c r="B215" s="20">
        <f>Gplant_fc_dB</f>
        <v>-18.746112842606117</v>
      </c>
      <c r="C215" t="s">
        <v>275</v>
      </c>
      <c r="E215" t="s">
        <v>305</v>
      </c>
    </row>
    <row r="216" spans="1:5" x14ac:dyDescent="0.2">
      <c r="A216" t="s">
        <v>300</v>
      </c>
      <c r="B216" s="20">
        <f>10^(B215/20)</f>
        <v>0.11552988947697933</v>
      </c>
      <c r="C216" t="s">
        <v>180</v>
      </c>
      <c r="E216" t="s">
        <v>301</v>
      </c>
    </row>
    <row r="217" spans="1:5" x14ac:dyDescent="0.2">
      <c r="A217" t="s">
        <v>306</v>
      </c>
      <c r="B217" s="20">
        <f>1/B216</f>
        <v>8.6557686891863739</v>
      </c>
      <c r="C217" t="s">
        <v>180</v>
      </c>
      <c r="E217" t="s">
        <v>307</v>
      </c>
    </row>
    <row r="219" spans="1:5" x14ac:dyDescent="0.2">
      <c r="A219" t="s">
        <v>313</v>
      </c>
      <c r="B219">
        <f>fcross/10</f>
        <v>100</v>
      </c>
      <c r="C219" t="s">
        <v>69</v>
      </c>
      <c r="E219" t="s">
        <v>311</v>
      </c>
    </row>
    <row r="220" spans="1:5" x14ac:dyDescent="0.2">
      <c r="A220" t="s">
        <v>314</v>
      </c>
      <c r="B220" s="35">
        <f>SQRT(B192*fcross)</f>
        <v>12.491367336414005</v>
      </c>
      <c r="C220" t="s">
        <v>69</v>
      </c>
      <c r="E220" t="s">
        <v>312</v>
      </c>
    </row>
    <row r="221" spans="1:5" x14ac:dyDescent="0.2">
      <c r="A221" t="s">
        <v>310</v>
      </c>
      <c r="B221" s="35">
        <f>B220</f>
        <v>12.491367336414005</v>
      </c>
      <c r="C221" t="s">
        <v>69</v>
      </c>
    </row>
    <row r="223" spans="1:5" x14ac:dyDescent="0.2">
      <c r="A223" t="s">
        <v>317</v>
      </c>
      <c r="B223" s="32">
        <f>fz_rhp</f>
        <v>215701.75816689816</v>
      </c>
      <c r="C223" t="s">
        <v>69</v>
      </c>
      <c r="E223" t="s">
        <v>490</v>
      </c>
    </row>
    <row r="224" spans="1:5" x14ac:dyDescent="0.2">
      <c r="E224" t="s">
        <v>491</v>
      </c>
    </row>
    <row r="227" spans="1:5" x14ac:dyDescent="0.2">
      <c r="A227" t="s">
        <v>308</v>
      </c>
      <c r="B227" s="23">
        <f>(Gea_mid_calc*(RFBT+RFBB)/(RFBB*gm_ea))</f>
        <v>725641.94177679101</v>
      </c>
      <c r="C227" s="2" t="s">
        <v>36</v>
      </c>
      <c r="E227" t="s">
        <v>309</v>
      </c>
    </row>
    <row r="228" spans="1:5" x14ac:dyDescent="0.2">
      <c r="A228" t="s">
        <v>214</v>
      </c>
      <c r="B228" s="3">
        <f>'Design Converter'!H69*1000</f>
        <v>2200000</v>
      </c>
      <c r="C228" s="2" t="s">
        <v>36</v>
      </c>
      <c r="E228" t="s">
        <v>221</v>
      </c>
    </row>
    <row r="229" spans="1:5" x14ac:dyDescent="0.2">
      <c r="A229" t="s">
        <v>315</v>
      </c>
      <c r="B229" s="36">
        <f>1/(2*PI()*fz_ea_est*Rcomp_calc)</f>
        <v>1.7558514674530081E-8</v>
      </c>
      <c r="C229" s="2" t="s">
        <v>193</v>
      </c>
    </row>
    <row r="230" spans="1:5" x14ac:dyDescent="0.2">
      <c r="A230" t="s">
        <v>219</v>
      </c>
      <c r="B230" s="3">
        <f>'Design Converter'!H70*(10^-9)</f>
        <v>5.5999999999999997E-9</v>
      </c>
      <c r="C230" t="s">
        <v>193</v>
      </c>
      <c r="E230" t="s">
        <v>222</v>
      </c>
    </row>
    <row r="231" spans="1:5" x14ac:dyDescent="0.2">
      <c r="A231" t="s">
        <v>316</v>
      </c>
      <c r="B231" s="36">
        <f>(CComp_calc)/((CComp_calc*Rcomp_calc*2*PI()*fp_ea_est)-1)</f>
        <v>1.0168788643766516E-12</v>
      </c>
      <c r="C231" t="s">
        <v>193</v>
      </c>
    </row>
    <row r="232" spans="1:5" x14ac:dyDescent="0.2">
      <c r="A232" t="s">
        <v>220</v>
      </c>
      <c r="B232" s="3">
        <f>'Design Converter'!H71*(10^-12)</f>
        <v>2.2000000000000003E-12</v>
      </c>
      <c r="C232" t="s">
        <v>193</v>
      </c>
      <c r="E232" t="s">
        <v>223</v>
      </c>
    </row>
    <row r="235" spans="1:5" x14ac:dyDescent="0.2">
      <c r="A235" s="30" t="s">
        <v>379</v>
      </c>
    </row>
    <row r="236" spans="1:5" x14ac:dyDescent="0.2">
      <c r="A236" s="30" t="s">
        <v>398</v>
      </c>
    </row>
    <row r="237" spans="1:5" x14ac:dyDescent="0.2">
      <c r="A237" s="52" t="s">
        <v>461</v>
      </c>
      <c r="E237" t="s">
        <v>462</v>
      </c>
    </row>
    <row r="238" spans="1:5" x14ac:dyDescent="0.2">
      <c r="A238" t="s">
        <v>380</v>
      </c>
      <c r="B238">
        <f>'Design Converter'!H86/1000</f>
        <v>0.8</v>
      </c>
      <c r="C238" t="s">
        <v>10</v>
      </c>
      <c r="E238" t="s">
        <v>381</v>
      </c>
    </row>
    <row r="239" spans="1:5" x14ac:dyDescent="0.2">
      <c r="A239" t="s">
        <v>411</v>
      </c>
      <c r="B239">
        <f>'Design Converter'!H87*(10^-9)</f>
        <v>5.0000000000000004E-8</v>
      </c>
      <c r="C239" t="s">
        <v>409</v>
      </c>
      <c r="E239" t="s">
        <v>410</v>
      </c>
    </row>
    <row r="242" spans="1:8" x14ac:dyDescent="0.2">
      <c r="A242" s="30" t="s">
        <v>401</v>
      </c>
    </row>
    <row r="243" spans="1:8" x14ac:dyDescent="0.2">
      <c r="A243" t="s">
        <v>412</v>
      </c>
      <c r="B243" s="3">
        <f>'Design Converter'!H76*(10^-3)</f>
        <v>1.17E-2</v>
      </c>
      <c r="C243" s="2" t="s">
        <v>36</v>
      </c>
      <c r="E243" s="44" t="s">
        <v>387</v>
      </c>
    </row>
    <row r="244" spans="1:8" x14ac:dyDescent="0.2">
      <c r="A244" t="s">
        <v>402</v>
      </c>
      <c r="B244" s="3">
        <f>'Design Converter'!H77*(10^-9)</f>
        <v>3.2000000000000002E-8</v>
      </c>
      <c r="C244" t="s">
        <v>193</v>
      </c>
      <c r="E244" s="44" t="s">
        <v>388</v>
      </c>
    </row>
    <row r="245" spans="1:8" x14ac:dyDescent="0.2">
      <c r="A245" t="s">
        <v>404</v>
      </c>
      <c r="B245" s="3">
        <f>'Design Converter'!H78*(10^-9)</f>
        <v>8.0000000000000005E-9</v>
      </c>
      <c r="C245" t="s">
        <v>193</v>
      </c>
      <c r="E245" s="44" t="s">
        <v>389</v>
      </c>
    </row>
    <row r="246" spans="1:8" x14ac:dyDescent="0.2">
      <c r="A246" t="s">
        <v>403</v>
      </c>
      <c r="B246" s="3">
        <f>'Design Converter'!H79*(10^-9)</f>
        <v>9.0000000000000012E-9</v>
      </c>
      <c r="C246" t="s">
        <v>193</v>
      </c>
      <c r="E246" s="44" t="s">
        <v>390</v>
      </c>
    </row>
    <row r="247" spans="1:8" x14ac:dyDescent="0.2">
      <c r="A247" t="s">
        <v>405</v>
      </c>
      <c r="B247" s="3">
        <f>'Design Converter'!H80</f>
        <v>0.7</v>
      </c>
      <c r="C247" s="2" t="s">
        <v>36</v>
      </c>
      <c r="E247" s="44" t="s">
        <v>391</v>
      </c>
    </row>
    <row r="248" spans="1:8" x14ac:dyDescent="0.2">
      <c r="A248" t="s">
        <v>413</v>
      </c>
      <c r="B248" s="12">
        <v>1.5</v>
      </c>
      <c r="C248" s="2"/>
      <c r="E248" s="44" t="s">
        <v>414</v>
      </c>
      <c r="H248" t="s">
        <v>423</v>
      </c>
    </row>
    <row r="249" spans="1:8" x14ac:dyDescent="0.2">
      <c r="A249" t="s">
        <v>406</v>
      </c>
      <c r="B249" s="3">
        <f>'Design Converter'!H81</f>
        <v>15.2</v>
      </c>
      <c r="C249" s="2" t="s">
        <v>397</v>
      </c>
      <c r="E249" s="44" t="s">
        <v>392</v>
      </c>
    </row>
    <row r="250" spans="1:8" x14ac:dyDescent="0.2">
      <c r="A250" t="s">
        <v>407</v>
      </c>
      <c r="B250" s="3">
        <f>'Design Converter'!H82</f>
        <v>3</v>
      </c>
      <c r="C250" s="2" t="s">
        <v>10</v>
      </c>
      <c r="E250" s="44" t="s">
        <v>393</v>
      </c>
    </row>
    <row r="251" spans="1:8" x14ac:dyDescent="0.2">
      <c r="A251" t="s">
        <v>419</v>
      </c>
      <c r="B251" s="12">
        <f>Vcc</f>
        <v>6.75</v>
      </c>
      <c r="C251" s="2" t="s">
        <v>10</v>
      </c>
      <c r="E251" s="44" t="s">
        <v>424</v>
      </c>
    </row>
    <row r="252" spans="1:8" x14ac:dyDescent="0.2">
      <c r="C252" s="2"/>
      <c r="E252" s="44"/>
    </row>
    <row r="253" spans="1:8" x14ac:dyDescent="0.2">
      <c r="C253" s="2"/>
      <c r="E253" s="44"/>
    </row>
    <row r="254" spans="1:8" x14ac:dyDescent="0.2">
      <c r="A254" t="s">
        <v>415</v>
      </c>
      <c r="B254" s="27">
        <f>Vth+(((VOUT*IOUT)/VIN_min)/gfs)</f>
        <v>3.0233004385964914</v>
      </c>
      <c r="C254" s="2" t="s">
        <v>10</v>
      </c>
      <c r="E254" s="44" t="s">
        <v>416</v>
      </c>
    </row>
    <row r="255" spans="1:8" x14ac:dyDescent="0.2">
      <c r="A255" t="s">
        <v>425</v>
      </c>
      <c r="B255" s="1">
        <f>(Qgd+(Qgs/2))*((Rgate+B248)/(Vcc-B254))</f>
        <v>7.3791835233541766E-9</v>
      </c>
      <c r="C255" s="2" t="s">
        <v>54</v>
      </c>
      <c r="E255" s="44" t="s">
        <v>417</v>
      </c>
    </row>
    <row r="256" spans="1:8" ht="16" thickBot="1" x14ac:dyDescent="0.25">
      <c r="A256" t="s">
        <v>426</v>
      </c>
      <c r="B256" s="1">
        <f>(Qgd+(Qgs/2))*((B248+Rgate)/B254)</f>
        <v>9.0960195847311645E-9</v>
      </c>
      <c r="C256" t="s">
        <v>54</v>
      </c>
      <c r="E256" s="45" t="s">
        <v>418</v>
      </c>
    </row>
  </sheetData>
  <mergeCells count="2">
    <mergeCell ref="A1:J1"/>
    <mergeCell ref="E5:H5"/>
  </mergeCells>
  <pageMargins left="0.7" right="0.7" top="0.75" bottom="0.75" header="0.3" footer="0.3"/>
  <pageSetup orientation="portrait" r:id="rId1"/>
  <drawing r:id="rId2"/>
  <legacyDrawing r:id="rId3"/>
  <oleObjects>
    <mc:AlternateContent xmlns:mc="http://schemas.openxmlformats.org/markup-compatibility/2006">
      <mc:Choice Requires="x14">
        <oleObject progId="Mathcad" shapeId="2053" r:id="rId4">
          <objectPr defaultSize="0" autoPict="0" r:id="rId5">
            <anchor moveWithCells="1">
              <from>
                <xdr:col>8</xdr:col>
                <xdr:colOff>63500</xdr:colOff>
                <xdr:row>154</xdr:row>
                <xdr:rowOff>139700</xdr:rowOff>
              </from>
              <to>
                <xdr:col>12</xdr:col>
                <xdr:colOff>393700</xdr:colOff>
                <xdr:row>157</xdr:row>
                <xdr:rowOff>25400</xdr:rowOff>
              </to>
            </anchor>
          </objectPr>
        </oleObject>
      </mc:Choice>
      <mc:Fallback>
        <oleObject progId="Mathcad" shapeId="205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157"/>
  <sheetViews>
    <sheetView topLeftCell="R1" zoomScale="85" zoomScaleNormal="85" workbookViewId="0">
      <pane ySplit="6" topLeftCell="A135" activePane="bottomLeft" state="frozen"/>
      <selection activeCell="N8" sqref="N8"/>
      <selection pane="bottomLeft" activeCell="N8" sqref="N8"/>
    </sheetView>
  </sheetViews>
  <sheetFormatPr baseColWidth="10" defaultColWidth="8.83203125" defaultRowHeight="15" x14ac:dyDescent="0.2"/>
  <cols>
    <col min="10" max="10" width="10" bestFit="1" customWidth="1"/>
    <col min="25" max="25" width="12" bestFit="1" customWidth="1"/>
    <col min="39" max="39" width="11" bestFit="1" customWidth="1"/>
  </cols>
  <sheetData>
    <row r="1" spans="1:46" ht="28" x14ac:dyDescent="0.3">
      <c r="A1" s="230" t="s">
        <v>15</v>
      </c>
      <c r="B1" s="230"/>
      <c r="C1" s="230"/>
      <c r="D1" s="230"/>
      <c r="E1" s="230"/>
      <c r="F1" s="230"/>
      <c r="G1" s="230"/>
      <c r="H1" s="230"/>
      <c r="I1" s="230"/>
      <c r="J1" s="230"/>
      <c r="K1" s="230"/>
      <c r="L1" s="230"/>
      <c r="M1" s="230"/>
    </row>
    <row r="4" spans="1:46" ht="16" thickBot="1" x14ac:dyDescent="0.25">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row>
    <row r="5" spans="1:46" ht="32" x14ac:dyDescent="0.2">
      <c r="R5" s="235" t="s">
        <v>372</v>
      </c>
      <c r="S5" s="236"/>
      <c r="T5" s="236"/>
      <c r="U5" s="237"/>
      <c r="V5" s="235" t="s">
        <v>373</v>
      </c>
      <c r="W5" s="236"/>
      <c r="X5" s="237"/>
      <c r="Y5" s="235" t="s">
        <v>446</v>
      </c>
      <c r="Z5" s="236"/>
      <c r="AA5" s="236"/>
      <c r="AB5" s="236"/>
      <c r="AC5" s="236"/>
      <c r="AD5" s="237"/>
      <c r="AE5" s="235" t="s">
        <v>445</v>
      </c>
      <c r="AF5" s="236"/>
      <c r="AG5" s="236"/>
      <c r="AH5" s="236"/>
      <c r="AI5" s="237"/>
      <c r="AJ5" s="235" t="s">
        <v>447</v>
      </c>
      <c r="AK5" s="236"/>
      <c r="AL5" s="236"/>
      <c r="AM5" s="236"/>
      <c r="AN5" s="237"/>
      <c r="AO5" s="232" t="s">
        <v>442</v>
      </c>
      <c r="AP5" s="233"/>
      <c r="AQ5" s="234"/>
      <c r="AR5" s="49" t="s">
        <v>435</v>
      </c>
      <c r="AS5" s="50"/>
      <c r="AT5" s="51"/>
    </row>
    <row r="6" spans="1:46" ht="17" x14ac:dyDescent="0.25">
      <c r="R6" s="39" t="s">
        <v>31</v>
      </c>
      <c r="S6" s="37" t="s">
        <v>33</v>
      </c>
      <c r="T6" s="37" t="s">
        <v>327</v>
      </c>
      <c r="U6" s="40" t="s">
        <v>330</v>
      </c>
      <c r="V6" s="39" t="s">
        <v>328</v>
      </c>
      <c r="W6" s="37" t="s">
        <v>329</v>
      </c>
      <c r="X6" s="40" t="s">
        <v>377</v>
      </c>
      <c r="Y6" s="39" t="s">
        <v>374</v>
      </c>
      <c r="Z6" s="37" t="s">
        <v>376</v>
      </c>
      <c r="AA6" s="37" t="s">
        <v>375</v>
      </c>
      <c r="AB6" s="46" t="s">
        <v>383</v>
      </c>
      <c r="AC6" s="46" t="s">
        <v>384</v>
      </c>
      <c r="AD6" s="48" t="s">
        <v>433</v>
      </c>
      <c r="AE6" s="39" t="s">
        <v>427</v>
      </c>
      <c r="AF6" s="37" t="s">
        <v>428</v>
      </c>
      <c r="AG6" s="46" t="s">
        <v>430</v>
      </c>
      <c r="AH6" s="46" t="s">
        <v>429</v>
      </c>
      <c r="AI6" s="48" t="s">
        <v>431</v>
      </c>
      <c r="AJ6" s="39" t="s">
        <v>382</v>
      </c>
      <c r="AK6" s="37" t="s">
        <v>378</v>
      </c>
      <c r="AL6" s="37" t="s">
        <v>385</v>
      </c>
      <c r="AM6" s="37" t="s">
        <v>386</v>
      </c>
      <c r="AN6" s="40" t="s">
        <v>432</v>
      </c>
      <c r="AO6" s="39" t="s">
        <v>434</v>
      </c>
      <c r="AP6" s="37" t="s">
        <v>437</v>
      </c>
      <c r="AQ6" s="40" t="s">
        <v>438</v>
      </c>
      <c r="AR6" s="39" t="s">
        <v>436</v>
      </c>
      <c r="AS6" s="37" t="s">
        <v>444</v>
      </c>
      <c r="AT6" s="40" t="s">
        <v>443</v>
      </c>
    </row>
    <row r="7" spans="1:46" x14ac:dyDescent="0.2">
      <c r="Q7">
        <v>0</v>
      </c>
      <c r="R7" s="39">
        <f t="shared" ref="R7:R70" si="0">VOUT</f>
        <v>170</v>
      </c>
      <c r="S7" s="37">
        <f t="shared" ref="S7:S38" si="1">Q7*$O$12</f>
        <v>0</v>
      </c>
      <c r="T7" s="37">
        <f t="shared" ref="T7:T70" si="2">VIN_var</f>
        <v>5</v>
      </c>
      <c r="U7" s="40">
        <f t="shared" ref="U7:U38" si="3">(R7*S7)/(T7*EFF_est)</f>
        <v>0</v>
      </c>
      <c r="V7" s="39">
        <f t="shared" ref="V7:V38" si="4">IF((S7*R7/T7)&lt;((T7*(1-(T7/R7)))/(2*Lm*Fsw)),1,2)</f>
        <v>1</v>
      </c>
      <c r="W7" s="37">
        <f t="shared" ref="W7:W38" si="5">CHOOSE(V7,SQRT((2*S7*Lm*Fsw*(R7-T7))/((T7)^2)),1-(T7/R7))</f>
        <v>0</v>
      </c>
      <c r="X7" s="40">
        <f t="shared" ref="X7:X38" si="6">CHOOSE(V7,(Lm*W7*Fsw)/(R7-T7),1-W7)</f>
        <v>0</v>
      </c>
      <c r="Y7" s="39">
        <f t="shared" ref="Y7:Y38" si="7">(T7*W7)/(Lm*Fsw)</f>
        <v>0</v>
      </c>
      <c r="Z7" s="37">
        <f>CHOOSE(V7,Y7,U7+(0.5*Y7))</f>
        <v>0</v>
      </c>
      <c r="AA7" s="37">
        <f>CHOOSE(V7,Z7*SQRT((W7+X7)/3),SQRT((U7^2)+((Y7^2)/12)))</f>
        <v>0</v>
      </c>
      <c r="AB7" s="37">
        <v>0</v>
      </c>
      <c r="AC7" s="37">
        <f t="shared" ref="AC7:AC38" si="8">(AA7^2)*Rdcr</f>
        <v>0</v>
      </c>
      <c r="AD7" s="40">
        <f>AB7+AC7</f>
        <v>0</v>
      </c>
      <c r="AE7" s="39">
        <f>U7*W7</f>
        <v>0</v>
      </c>
      <c r="AF7" s="37">
        <f>CHOOSE(V7,Z7*SQRT(W7/3),SQRT(W7*((Z7^2)+((Y7^2)/3)-(Z7*Y7))))</f>
        <v>0</v>
      </c>
      <c r="AG7" s="37">
        <f t="shared" ref="AG7:AG38" si="9">(AF7^2)*RDS_on</f>
        <v>0</v>
      </c>
      <c r="AH7" s="37">
        <f t="shared" ref="AH7:AH38" si="10">((R7*U7)/2)*Fsw*(tr_sw+tf_sw)</f>
        <v>0</v>
      </c>
      <c r="AI7" s="40">
        <f>AG7+AH7</f>
        <v>0</v>
      </c>
      <c r="AJ7" s="39">
        <f>X7*U7</f>
        <v>0</v>
      </c>
      <c r="AK7" s="37">
        <f t="shared" ref="AK7:AK38" si="11">CHOOSE(V7,Z7*SQRT(X7/3),SQRT(X7*((Z7^2)+((Y7^2)/3)-(Y7*Z7))))</f>
        <v>0</v>
      </c>
      <c r="AL7" s="37">
        <f t="shared" ref="AL7:AL38" si="12">S7*Vd_rect</f>
        <v>0</v>
      </c>
      <c r="AM7" s="37">
        <f t="shared" ref="AM7:AM38" si="13">CHOOSE(V7,(R7+Vd_rect)*Qrr*Fsw,(R7+Vd_rect)*Qrr*Fsw)</f>
        <v>0.85400000000000009</v>
      </c>
      <c r="AN7" s="40">
        <f>AL7+AM7</f>
        <v>0.85400000000000009</v>
      </c>
      <c r="AO7" s="39">
        <f t="shared" ref="AO7:AO38" si="14">(AF7^2)*R_cs</f>
        <v>0</v>
      </c>
      <c r="AP7" s="37">
        <f t="shared" ref="AP7:AP38" si="15">Qg_tot*Vcc*Fsw</f>
        <v>2.1600000000000001E-2</v>
      </c>
      <c r="AQ7" s="40">
        <f t="shared" ref="AQ7:AQ38" si="16">IQ*T7</f>
        <v>2.2499999999999998E-3</v>
      </c>
      <c r="AR7" s="39">
        <f>AO7+AN7+AI7+AD7+AP7+AQ7</f>
        <v>0.87785000000000002</v>
      </c>
      <c r="AS7" s="37">
        <f>R7*S7</f>
        <v>0</v>
      </c>
      <c r="AT7" s="40">
        <f>(AS7/(AS7+AR7))*100</f>
        <v>0</v>
      </c>
    </row>
    <row r="8" spans="1:46" x14ac:dyDescent="0.2">
      <c r="M8">
        <f>Fsw</f>
        <v>100000</v>
      </c>
      <c r="Q8">
        <v>1</v>
      </c>
      <c r="R8" s="39">
        <f t="shared" si="0"/>
        <v>170</v>
      </c>
      <c r="S8" s="37">
        <f t="shared" si="1"/>
        <v>6.666666666666667E-5</v>
      </c>
      <c r="T8" s="37">
        <f t="shared" si="2"/>
        <v>5</v>
      </c>
      <c r="U8" s="40">
        <f t="shared" si="3"/>
        <v>2.666666666666667E-3</v>
      </c>
      <c r="V8" s="39">
        <f t="shared" si="4"/>
        <v>1</v>
      </c>
      <c r="W8" s="37">
        <f t="shared" si="5"/>
        <v>2.9664793948382655E-2</v>
      </c>
      <c r="X8" s="40">
        <f t="shared" si="6"/>
        <v>1.797866299901979E-4</v>
      </c>
      <c r="Y8" s="39">
        <f t="shared" si="7"/>
        <v>0.14832396974191331</v>
      </c>
      <c r="Z8" s="37">
        <f t="shared" ref="Z8:Z15" si="17">CHOOSE(V8,Y8,U8+(0.5*Y8))</f>
        <v>0.14832396974191331</v>
      </c>
      <c r="AA8" s="37">
        <f t="shared" ref="AA8:AA15" si="18">CHOOSE(V8,Z8*SQRT((W8+X8)/3),SQRT((U8^2)+((Y8^2)/12)))</f>
        <v>1.4793926374520537E-2</v>
      </c>
      <c r="AB8" s="37">
        <v>0</v>
      </c>
      <c r="AC8" s="37">
        <f t="shared" si="8"/>
        <v>7.6601090151157038E-6</v>
      </c>
      <c r="AD8" s="40">
        <f t="shared" ref="AD8:AD71" si="19">AB8+AC8</f>
        <v>7.6601090151157038E-6</v>
      </c>
      <c r="AE8" s="39">
        <f>U8*W8</f>
        <v>7.9106117195687086E-5</v>
      </c>
      <c r="AF8" s="37">
        <f t="shared" ref="AF8:AF71" si="20">CHOOSE(V8,Z8*SQRT(W8/3),SQRT(W8*((Z8^2)+((Y8^2)/3)-(Z8*Y8))))</f>
        <v>1.474929904395933E-2</v>
      </c>
      <c r="AG8" s="37">
        <f t="shared" si="9"/>
        <v>2.5452393207712334E-6</v>
      </c>
      <c r="AH8" s="37">
        <f t="shared" si="10"/>
        <v>3.7343793711660107E-4</v>
      </c>
      <c r="AI8" s="40">
        <f t="shared" ref="AI8:AI71" si="21">AG8+AH8</f>
        <v>3.7598317643737229E-4</v>
      </c>
      <c r="AJ8" s="39">
        <f t="shared" ref="AJ8:AJ71" si="22">X8*U8</f>
        <v>4.7943101330719447E-7</v>
      </c>
      <c r="AK8" s="37">
        <f t="shared" si="11"/>
        <v>1.1482313732844897E-3</v>
      </c>
      <c r="AL8" s="37">
        <f t="shared" si="12"/>
        <v>5.333333333333334E-5</v>
      </c>
      <c r="AM8" s="37">
        <f t="shared" si="13"/>
        <v>0.85400000000000009</v>
      </c>
      <c r="AN8" s="40">
        <f t="shared" ref="AN8:AN71" si="23">AL8+AM8</f>
        <v>0.85405333333333344</v>
      </c>
      <c r="AO8" s="39">
        <f t="shared" si="14"/>
        <v>1.0224465647542561E-5</v>
      </c>
      <c r="AP8" s="37">
        <f t="shared" si="15"/>
        <v>2.1600000000000001E-2</v>
      </c>
      <c r="AQ8" s="40">
        <f t="shared" si="16"/>
        <v>2.2499999999999998E-3</v>
      </c>
      <c r="AR8" s="39">
        <f t="shared" ref="AR8:AR71" si="24">AO8+AN8+AI8+AD8+AP8+AQ8</f>
        <v>0.87829720108443343</v>
      </c>
      <c r="AS8" s="37">
        <f t="shared" ref="AS8:AS71" si="25">R8*S8</f>
        <v>1.1333333333333334E-2</v>
      </c>
      <c r="AT8" s="40">
        <f t="shared" ref="AT8:AT71" si="26">(AS8/(AS8+AR8))*100</f>
        <v>1.2739370890355757</v>
      </c>
    </row>
    <row r="9" spans="1:46" x14ac:dyDescent="0.2">
      <c r="N9" s="37" t="s">
        <v>233</v>
      </c>
      <c r="O9" s="37">
        <f>VIN_var</f>
        <v>5</v>
      </c>
      <c r="P9" t="s">
        <v>10</v>
      </c>
      <c r="Q9">
        <v>2</v>
      </c>
      <c r="R9" s="39">
        <f t="shared" si="0"/>
        <v>170</v>
      </c>
      <c r="S9" s="37">
        <f t="shared" si="1"/>
        <v>1.3333333333333334E-4</v>
      </c>
      <c r="T9" s="37">
        <f t="shared" si="2"/>
        <v>5</v>
      </c>
      <c r="U9" s="40">
        <f t="shared" si="3"/>
        <v>5.333333333333334E-3</v>
      </c>
      <c r="V9" s="39">
        <f t="shared" si="4"/>
        <v>1</v>
      </c>
      <c r="W9" s="37">
        <f t="shared" si="5"/>
        <v>4.1952353926806067E-2</v>
      </c>
      <c r="X9" s="40">
        <f t="shared" si="6"/>
        <v>2.5425669046549127E-4</v>
      </c>
      <c r="Y9" s="39">
        <f t="shared" si="7"/>
        <v>0.20976176963403037</v>
      </c>
      <c r="Z9" s="37">
        <f t="shared" si="17"/>
        <v>0.20976176963403037</v>
      </c>
      <c r="AA9" s="37">
        <f t="shared" si="18"/>
        <v>2.4880319311723405E-2</v>
      </c>
      <c r="AB9" s="37">
        <v>0</v>
      </c>
      <c r="AC9" s="37">
        <f t="shared" si="8"/>
        <v>2.1666060116866084E-5</v>
      </c>
      <c r="AD9" s="40">
        <f t="shared" si="19"/>
        <v>2.1666060116866084E-5</v>
      </c>
      <c r="AE9" s="39">
        <f t="shared" ref="AE9:AE72" si="27">U9*W9</f>
        <v>2.2374588760963238E-4</v>
      </c>
      <c r="AF9" s="37">
        <f t="shared" si="20"/>
        <v>2.4805265387140878E-2</v>
      </c>
      <c r="AG9" s="37">
        <f t="shared" si="9"/>
        <v>7.199023933839925E-6</v>
      </c>
      <c r="AH9" s="37">
        <f t="shared" si="10"/>
        <v>7.4687587423320214E-4</v>
      </c>
      <c r="AI9" s="40">
        <f t="shared" si="21"/>
        <v>7.5407489816704202E-4</v>
      </c>
      <c r="AJ9" s="39">
        <f t="shared" si="22"/>
        <v>1.3560356824826204E-6</v>
      </c>
      <c r="AK9" s="37">
        <f t="shared" si="11"/>
        <v>1.9310872913535545E-3</v>
      </c>
      <c r="AL9" s="37">
        <f t="shared" si="12"/>
        <v>1.0666666666666668E-4</v>
      </c>
      <c r="AM9" s="37">
        <f t="shared" si="13"/>
        <v>0.85400000000000009</v>
      </c>
      <c r="AN9" s="40">
        <f t="shared" si="23"/>
        <v>0.85410666666666679</v>
      </c>
      <c r="AO9" s="39">
        <f t="shared" si="14"/>
        <v>2.8919155973544998E-5</v>
      </c>
      <c r="AP9" s="37">
        <f t="shared" si="15"/>
        <v>2.1600000000000001E-2</v>
      </c>
      <c r="AQ9" s="40">
        <f t="shared" si="16"/>
        <v>2.2499999999999998E-3</v>
      </c>
      <c r="AR9" s="39">
        <f t="shared" si="24"/>
        <v>0.87876132678092422</v>
      </c>
      <c r="AS9" s="37">
        <f t="shared" si="25"/>
        <v>2.2666666666666668E-2</v>
      </c>
      <c r="AT9" s="40">
        <f t="shared" si="26"/>
        <v>2.5145288177679066</v>
      </c>
    </row>
    <row r="10" spans="1:46" x14ac:dyDescent="0.2">
      <c r="N10" s="37"/>
      <c r="O10" s="37"/>
      <c r="Q10">
        <v>3</v>
      </c>
      <c r="R10" s="39">
        <f t="shared" si="0"/>
        <v>170</v>
      </c>
      <c r="S10" s="37">
        <f t="shared" si="1"/>
        <v>2.0000000000000001E-4</v>
      </c>
      <c r="T10" s="37">
        <f t="shared" si="2"/>
        <v>5</v>
      </c>
      <c r="U10" s="40">
        <f t="shared" si="3"/>
        <v>8.0000000000000002E-3</v>
      </c>
      <c r="V10" s="39">
        <f t="shared" si="4"/>
        <v>1</v>
      </c>
      <c r="W10" s="37">
        <f t="shared" si="5"/>
        <v>5.1380930314660518E-2</v>
      </c>
      <c r="X10" s="40">
        <f t="shared" si="6"/>
        <v>3.1139957766460914E-4</v>
      </c>
      <c r="Y10" s="39">
        <f t="shared" si="7"/>
        <v>0.25690465157330267</v>
      </c>
      <c r="Z10" s="37">
        <f t="shared" si="17"/>
        <v>0.25690465157330267</v>
      </c>
      <c r="AA10" s="37">
        <f t="shared" si="18"/>
        <v>3.3722859570788973E-2</v>
      </c>
      <c r="AB10" s="37">
        <v>0</v>
      </c>
      <c r="AC10" s="37">
        <f t="shared" si="8"/>
        <v>3.9803094017090376E-5</v>
      </c>
      <c r="AD10" s="40">
        <f t="shared" si="19"/>
        <v>3.9803094017090376E-5</v>
      </c>
      <c r="AE10" s="39">
        <f t="shared" si="27"/>
        <v>4.1104744251728415E-4</v>
      </c>
      <c r="AF10" s="37">
        <f t="shared" si="20"/>
        <v>3.3621131255841645E-2</v>
      </c>
      <c r="AG10" s="37">
        <f t="shared" si="9"/>
        <v>1.3225451462993625E-5</v>
      </c>
      <c r="AH10" s="37">
        <f t="shared" si="10"/>
        <v>1.120313811349803E-3</v>
      </c>
      <c r="AI10" s="40">
        <f t="shared" si="21"/>
        <v>1.1335392628127967E-3</v>
      </c>
      <c r="AJ10" s="39">
        <f t="shared" si="22"/>
        <v>2.4911966213168732E-6</v>
      </c>
      <c r="AK10" s="37">
        <f t="shared" si="11"/>
        <v>2.61740151841887E-3</v>
      </c>
      <c r="AL10" s="37">
        <f t="shared" si="12"/>
        <v>1.6000000000000001E-4</v>
      </c>
      <c r="AM10" s="37">
        <f t="shared" si="13"/>
        <v>0.85400000000000009</v>
      </c>
      <c r="AN10" s="40">
        <f t="shared" si="23"/>
        <v>0.85416000000000014</v>
      </c>
      <c r="AO10" s="39">
        <f t="shared" si="14"/>
        <v>5.3127881945359003E-5</v>
      </c>
      <c r="AP10" s="37">
        <f t="shared" si="15"/>
        <v>2.1600000000000001E-2</v>
      </c>
      <c r="AQ10" s="40">
        <f t="shared" si="16"/>
        <v>2.2499999999999998E-3</v>
      </c>
      <c r="AR10" s="39">
        <f t="shared" si="24"/>
        <v>0.87923647023877527</v>
      </c>
      <c r="AS10" s="37">
        <f t="shared" si="25"/>
        <v>3.4000000000000002E-2</v>
      </c>
      <c r="AT10" s="40">
        <f t="shared" si="26"/>
        <v>3.7230225804615915</v>
      </c>
    </row>
    <row r="11" spans="1:46" x14ac:dyDescent="0.2">
      <c r="N11" s="37" t="s">
        <v>325</v>
      </c>
      <c r="O11" s="37">
        <v>150</v>
      </c>
      <c r="Q11">
        <v>4</v>
      </c>
      <c r="R11" s="39">
        <f t="shared" si="0"/>
        <v>170</v>
      </c>
      <c r="S11" s="37">
        <f t="shared" si="1"/>
        <v>2.6666666666666668E-4</v>
      </c>
      <c r="T11" s="37">
        <f t="shared" si="2"/>
        <v>5</v>
      </c>
      <c r="U11" s="40">
        <f t="shared" si="3"/>
        <v>1.0666666666666668E-2</v>
      </c>
      <c r="V11" s="39">
        <f t="shared" si="4"/>
        <v>1</v>
      </c>
      <c r="W11" s="37">
        <f t="shared" si="5"/>
        <v>5.9329587896765311E-2</v>
      </c>
      <c r="X11" s="40">
        <f t="shared" si="6"/>
        <v>3.5957325998039579E-4</v>
      </c>
      <c r="Y11" s="39">
        <f t="shared" si="7"/>
        <v>0.29664793948382662</v>
      </c>
      <c r="Z11" s="37">
        <f t="shared" si="17"/>
        <v>0.29664793948382662</v>
      </c>
      <c r="AA11" s="37">
        <f t="shared" si="18"/>
        <v>4.1843542639191961E-2</v>
      </c>
      <c r="AB11" s="37">
        <v>0</v>
      </c>
      <c r="AC11" s="37">
        <f t="shared" si="8"/>
        <v>6.1280872120925657E-5</v>
      </c>
      <c r="AD11" s="40">
        <f t="shared" si="19"/>
        <v>6.1280872120925657E-5</v>
      </c>
      <c r="AE11" s="39">
        <f t="shared" si="27"/>
        <v>6.3284893756549668E-4</v>
      </c>
      <c r="AF11" s="37">
        <f t="shared" si="20"/>
        <v>4.1717317486927613E-2</v>
      </c>
      <c r="AG11" s="37">
        <f t="shared" si="9"/>
        <v>2.036191456616986E-5</v>
      </c>
      <c r="AH11" s="37">
        <f t="shared" si="10"/>
        <v>1.4937517484664043E-3</v>
      </c>
      <c r="AI11" s="40">
        <f t="shared" si="21"/>
        <v>1.5141136630325742E-3</v>
      </c>
      <c r="AJ11" s="39">
        <f t="shared" si="22"/>
        <v>3.8354481064575557E-6</v>
      </c>
      <c r="AK11" s="37">
        <f t="shared" si="11"/>
        <v>3.2476887616824188E-3</v>
      </c>
      <c r="AL11" s="37">
        <f t="shared" si="12"/>
        <v>2.1333333333333336E-4</v>
      </c>
      <c r="AM11" s="37">
        <f t="shared" si="13"/>
        <v>0.85400000000000009</v>
      </c>
      <c r="AN11" s="40">
        <f t="shared" si="23"/>
        <v>0.85421333333333338</v>
      </c>
      <c r="AO11" s="39">
        <f t="shared" si="14"/>
        <v>8.1795725180340472E-5</v>
      </c>
      <c r="AP11" s="37">
        <f t="shared" si="15"/>
        <v>2.1600000000000001E-2</v>
      </c>
      <c r="AQ11" s="40">
        <f t="shared" si="16"/>
        <v>2.2499999999999998E-3</v>
      </c>
      <c r="AR11" s="39">
        <f t="shared" si="24"/>
        <v>0.87972052359366704</v>
      </c>
      <c r="AS11" s="37">
        <f t="shared" si="25"/>
        <v>4.5333333333333337E-2</v>
      </c>
      <c r="AT11" s="40">
        <f t="shared" si="26"/>
        <v>4.9006155689063595</v>
      </c>
    </row>
    <row r="12" spans="1:46" x14ac:dyDescent="0.2">
      <c r="N12" s="37" t="s">
        <v>326</v>
      </c>
      <c r="O12" s="37">
        <f>IOUT/(O11)</f>
        <v>6.666666666666667E-5</v>
      </c>
      <c r="Q12">
        <v>5</v>
      </c>
      <c r="R12" s="39">
        <f t="shared" si="0"/>
        <v>170</v>
      </c>
      <c r="S12" s="37">
        <f t="shared" si="1"/>
        <v>3.3333333333333338E-4</v>
      </c>
      <c r="T12" s="37">
        <f t="shared" si="2"/>
        <v>5</v>
      </c>
      <c r="U12" s="40">
        <f t="shared" si="3"/>
        <v>1.3333333333333334E-2</v>
      </c>
      <c r="V12" s="39">
        <f t="shared" si="4"/>
        <v>1</v>
      </c>
      <c r="W12" s="37">
        <f t="shared" si="5"/>
        <v>6.6332495807107997E-2</v>
      </c>
      <c r="X12" s="40">
        <f t="shared" si="6"/>
        <v>4.0201512610368482E-4</v>
      </c>
      <c r="Y12" s="39">
        <f t="shared" si="7"/>
        <v>0.33166247903554003</v>
      </c>
      <c r="Z12" s="37">
        <f t="shared" si="17"/>
        <v>0.33166247903554003</v>
      </c>
      <c r="AA12" s="37">
        <f t="shared" si="18"/>
        <v>4.946647417747798E-2</v>
      </c>
      <c r="AB12" s="37">
        <v>0</v>
      </c>
      <c r="AC12" s="37">
        <f t="shared" si="8"/>
        <v>8.5642622364288365E-5</v>
      </c>
      <c r="AD12" s="40">
        <f t="shared" si="19"/>
        <v>8.5642622364288365E-5</v>
      </c>
      <c r="AE12" s="39">
        <f t="shared" si="27"/>
        <v>8.8443327742810665E-4</v>
      </c>
      <c r="AF12" s="37">
        <f t="shared" si="20"/>
        <v>4.9317253704229048E-2</v>
      </c>
      <c r="AG12" s="37">
        <f t="shared" si="9"/>
        <v>2.8456640701249338E-5</v>
      </c>
      <c r="AH12" s="37">
        <f t="shared" si="10"/>
        <v>1.8671896855830051E-3</v>
      </c>
      <c r="AI12" s="40">
        <f t="shared" si="21"/>
        <v>1.8956463262842544E-3</v>
      </c>
      <c r="AJ12" s="39">
        <f t="shared" si="22"/>
        <v>5.3602016813824646E-6</v>
      </c>
      <c r="AK12" s="37">
        <f t="shared" si="11"/>
        <v>3.8393429937688271E-3</v>
      </c>
      <c r="AL12" s="37">
        <f t="shared" si="12"/>
        <v>2.6666666666666673E-4</v>
      </c>
      <c r="AM12" s="37">
        <f t="shared" si="13"/>
        <v>0.85400000000000009</v>
      </c>
      <c r="AN12" s="40">
        <f t="shared" si="23"/>
        <v>0.85426666666666673</v>
      </c>
      <c r="AO12" s="39">
        <f t="shared" si="14"/>
        <v>1.143130011075828E-4</v>
      </c>
      <c r="AP12" s="37">
        <f t="shared" si="15"/>
        <v>2.1600000000000001E-2</v>
      </c>
      <c r="AQ12" s="40">
        <f t="shared" si="16"/>
        <v>2.2499999999999998E-3</v>
      </c>
      <c r="AR12" s="39">
        <f t="shared" si="24"/>
        <v>0.88021226861642277</v>
      </c>
      <c r="AS12" s="37">
        <f t="shared" si="25"/>
        <v>5.6666666666666671E-2</v>
      </c>
      <c r="AT12" s="40">
        <f t="shared" si="26"/>
        <v>6.0484513561556534</v>
      </c>
    </row>
    <row r="13" spans="1:46" x14ac:dyDescent="0.2">
      <c r="Q13">
        <v>6</v>
      </c>
      <c r="R13" s="39">
        <f t="shared" si="0"/>
        <v>170</v>
      </c>
      <c r="S13" s="37">
        <f t="shared" si="1"/>
        <v>4.0000000000000002E-4</v>
      </c>
      <c r="T13" s="37">
        <f t="shared" si="2"/>
        <v>5</v>
      </c>
      <c r="U13" s="40">
        <f t="shared" si="3"/>
        <v>1.6E-2</v>
      </c>
      <c r="V13" s="39">
        <f t="shared" si="4"/>
        <v>1</v>
      </c>
      <c r="W13" s="37">
        <f t="shared" si="5"/>
        <v>7.2663608498339805E-2</v>
      </c>
      <c r="X13" s="40">
        <f t="shared" si="6"/>
        <v>4.4038550605054419E-4</v>
      </c>
      <c r="Y13" s="39">
        <f t="shared" si="7"/>
        <v>0.36331804249169908</v>
      </c>
      <c r="Z13" s="37">
        <f t="shared" si="17"/>
        <v>0.36331804249169908</v>
      </c>
      <c r="AA13" s="37">
        <f t="shared" si="18"/>
        <v>5.6714863450361738E-2</v>
      </c>
      <c r="AB13" s="37">
        <v>0</v>
      </c>
      <c r="AC13" s="37">
        <f t="shared" si="8"/>
        <v>1.1258015076676123E-4</v>
      </c>
      <c r="AD13" s="40">
        <f t="shared" si="19"/>
        <v>1.1258015076676123E-4</v>
      </c>
      <c r="AE13" s="39">
        <f t="shared" si="27"/>
        <v>1.1626177359734368E-3</v>
      </c>
      <c r="AF13" s="37">
        <f t="shared" si="20"/>
        <v>5.6543777499623714E-2</v>
      </c>
      <c r="AG13" s="37">
        <f t="shared" si="9"/>
        <v>3.7407225654945348E-5</v>
      </c>
      <c r="AH13" s="37">
        <f t="shared" si="10"/>
        <v>2.2406276226996061E-3</v>
      </c>
      <c r="AI13" s="40">
        <f t="shared" si="21"/>
        <v>2.2780348483545515E-3</v>
      </c>
      <c r="AJ13" s="39">
        <f t="shared" si="22"/>
        <v>7.0461680968087071E-6</v>
      </c>
      <c r="AK13" s="37">
        <f t="shared" si="11"/>
        <v>4.4019271082361136E-3</v>
      </c>
      <c r="AL13" s="37">
        <f t="shared" si="12"/>
        <v>3.2000000000000003E-4</v>
      </c>
      <c r="AM13" s="37">
        <f t="shared" si="13"/>
        <v>0.85400000000000009</v>
      </c>
      <c r="AN13" s="40">
        <f t="shared" si="23"/>
        <v>0.85432000000000008</v>
      </c>
      <c r="AO13" s="39">
        <f t="shared" si="14"/>
        <v>1.502683423745668E-4</v>
      </c>
      <c r="AP13" s="37">
        <f t="shared" si="15"/>
        <v>2.1600000000000001E-2</v>
      </c>
      <c r="AQ13" s="40">
        <f t="shared" si="16"/>
        <v>2.2499999999999998E-3</v>
      </c>
      <c r="AR13" s="39">
        <f t="shared" si="24"/>
        <v>0.88071088334149583</v>
      </c>
      <c r="AS13" s="37">
        <f t="shared" si="25"/>
        <v>6.8000000000000005E-2</v>
      </c>
      <c r="AT13" s="40">
        <f t="shared" si="26"/>
        <v>7.1676209469100058</v>
      </c>
    </row>
    <row r="14" spans="1:46" x14ac:dyDescent="0.2">
      <c r="Q14">
        <v>7</v>
      </c>
      <c r="R14" s="39">
        <f t="shared" si="0"/>
        <v>170</v>
      </c>
      <c r="S14" s="37">
        <f t="shared" si="1"/>
        <v>4.6666666666666666E-4</v>
      </c>
      <c r="T14" s="37">
        <f t="shared" si="2"/>
        <v>5</v>
      </c>
      <c r="U14" s="40">
        <f t="shared" si="3"/>
        <v>1.8666666666666668E-2</v>
      </c>
      <c r="V14" s="39">
        <f t="shared" si="4"/>
        <v>1</v>
      </c>
      <c r="W14" s="37">
        <f t="shared" si="5"/>
        <v>7.8485667481394322E-2</v>
      </c>
      <c r="X14" s="40">
        <f t="shared" si="6"/>
        <v>4.7567071200845033E-4</v>
      </c>
      <c r="Y14" s="39">
        <f t="shared" si="7"/>
        <v>0.39242833740697164</v>
      </c>
      <c r="Z14" s="37">
        <f t="shared" si="17"/>
        <v>0.39242833740697164</v>
      </c>
      <c r="AA14" s="37">
        <f t="shared" si="18"/>
        <v>6.3665914694819303E-2</v>
      </c>
      <c r="AB14" s="37">
        <v>0</v>
      </c>
      <c r="AC14" s="37">
        <f t="shared" si="8"/>
        <v>1.4186720428748033E-4</v>
      </c>
      <c r="AD14" s="40">
        <f t="shared" si="19"/>
        <v>1.4186720428748033E-4</v>
      </c>
      <c r="AE14" s="39">
        <f t="shared" si="27"/>
        <v>1.4650657929860275E-3</v>
      </c>
      <c r="AF14" s="37">
        <f t="shared" si="20"/>
        <v>6.347386021593121E-2</v>
      </c>
      <c r="AG14" s="37">
        <f t="shared" si="9"/>
        <v>4.7138491889325422E-5</v>
      </c>
      <c r="AH14" s="37">
        <f t="shared" si="10"/>
        <v>2.6140655598162078E-3</v>
      </c>
      <c r="AI14" s="40">
        <f t="shared" si="21"/>
        <v>2.661204051705533E-3</v>
      </c>
      <c r="AJ14" s="39">
        <f t="shared" si="22"/>
        <v>8.8791866241577398E-6</v>
      </c>
      <c r="AK14" s="37">
        <f t="shared" si="11"/>
        <v>4.9414333159958539E-3</v>
      </c>
      <c r="AL14" s="37">
        <f t="shared" si="12"/>
        <v>3.7333333333333337E-4</v>
      </c>
      <c r="AM14" s="37">
        <f t="shared" si="13"/>
        <v>0.85400000000000009</v>
      </c>
      <c r="AN14" s="40">
        <f t="shared" si="23"/>
        <v>0.85437333333333343</v>
      </c>
      <c r="AO14" s="39">
        <f t="shared" si="14"/>
        <v>1.8935975374344402E-4</v>
      </c>
      <c r="AP14" s="37">
        <f t="shared" si="15"/>
        <v>2.1600000000000001E-2</v>
      </c>
      <c r="AQ14" s="40">
        <f t="shared" si="16"/>
        <v>2.2499999999999998E-3</v>
      </c>
      <c r="AR14" s="39">
        <f t="shared" si="24"/>
        <v>0.88121576434306981</v>
      </c>
      <c r="AS14" s="37">
        <f t="shared" si="25"/>
        <v>7.9333333333333339E-2</v>
      </c>
      <c r="AT14" s="40">
        <f t="shared" si="26"/>
        <v>8.2591648386577035</v>
      </c>
    </row>
    <row r="15" spans="1:46" x14ac:dyDescent="0.2">
      <c r="O15">
        <f>0.205*2.5/(Lm*Fsw)</f>
        <v>0.51250000000000007</v>
      </c>
      <c r="Q15">
        <v>8</v>
      </c>
      <c r="R15" s="39">
        <f t="shared" si="0"/>
        <v>170</v>
      </c>
      <c r="S15" s="37">
        <f t="shared" si="1"/>
        <v>5.3333333333333336E-4</v>
      </c>
      <c r="T15" s="37">
        <f t="shared" si="2"/>
        <v>5</v>
      </c>
      <c r="U15" s="40">
        <f t="shared" si="3"/>
        <v>2.1333333333333336E-2</v>
      </c>
      <c r="V15" s="39">
        <f t="shared" si="4"/>
        <v>1</v>
      </c>
      <c r="W15" s="37">
        <f t="shared" si="5"/>
        <v>8.3904707853612134E-2</v>
      </c>
      <c r="X15" s="40">
        <f t="shared" si="6"/>
        <v>5.0851338093098255E-4</v>
      </c>
      <c r="Y15" s="39">
        <f t="shared" si="7"/>
        <v>0.41952353926806074</v>
      </c>
      <c r="Z15" s="37">
        <f t="shared" si="17"/>
        <v>0.41952353926806074</v>
      </c>
      <c r="AA15" s="37">
        <f t="shared" si="18"/>
        <v>7.0372170013624932E-2</v>
      </c>
      <c r="AB15" s="37">
        <v>0</v>
      </c>
      <c r="AC15" s="37">
        <f t="shared" si="8"/>
        <v>1.7332848093492865E-4</v>
      </c>
      <c r="AD15" s="40">
        <f t="shared" si="19"/>
        <v>1.7332848093492865E-4</v>
      </c>
      <c r="AE15" s="39">
        <f t="shared" si="27"/>
        <v>1.789967100877059E-3</v>
      </c>
      <c r="AF15" s="37">
        <f t="shared" si="20"/>
        <v>7.0159885457517071E-2</v>
      </c>
      <c r="AG15" s="37">
        <f t="shared" si="9"/>
        <v>5.7592191470719413E-5</v>
      </c>
      <c r="AH15" s="37">
        <f t="shared" si="10"/>
        <v>2.9875034969328086E-3</v>
      </c>
      <c r="AI15" s="40">
        <f t="shared" si="21"/>
        <v>3.045095688403528E-3</v>
      </c>
      <c r="AJ15" s="39">
        <f t="shared" si="22"/>
        <v>1.0848285459860963E-5</v>
      </c>
      <c r="AK15" s="37">
        <f t="shared" si="11"/>
        <v>5.461939675117042E-3</v>
      </c>
      <c r="AL15" s="37">
        <f t="shared" si="12"/>
        <v>4.2666666666666672E-4</v>
      </c>
      <c r="AM15" s="37">
        <f t="shared" si="13"/>
        <v>0.85400000000000009</v>
      </c>
      <c r="AN15" s="40">
        <f t="shared" si="23"/>
        <v>0.85442666666666678</v>
      </c>
      <c r="AO15" s="39">
        <f t="shared" si="14"/>
        <v>2.3135324778836001E-4</v>
      </c>
      <c r="AP15" s="37">
        <f t="shared" si="15"/>
        <v>2.1600000000000001E-2</v>
      </c>
      <c r="AQ15" s="40">
        <f t="shared" si="16"/>
        <v>2.2499999999999998E-3</v>
      </c>
      <c r="AR15" s="39">
        <f t="shared" si="24"/>
        <v>0.88172644408379341</v>
      </c>
      <c r="AS15" s="37">
        <f t="shared" si="25"/>
        <v>9.0666666666666673E-2</v>
      </c>
      <c r="AT15" s="40">
        <f t="shared" si="26"/>
        <v>9.3240753831229028</v>
      </c>
    </row>
    <row r="16" spans="1:46" x14ac:dyDescent="0.2">
      <c r="Q16">
        <v>9</v>
      </c>
      <c r="R16" s="39">
        <f t="shared" si="0"/>
        <v>170</v>
      </c>
      <c r="S16" s="37">
        <f t="shared" si="1"/>
        <v>6.0000000000000006E-4</v>
      </c>
      <c r="T16" s="37">
        <f t="shared" si="2"/>
        <v>5</v>
      </c>
      <c r="U16" s="40">
        <f t="shared" si="3"/>
        <v>2.4E-2</v>
      </c>
      <c r="V16" s="39">
        <f t="shared" si="4"/>
        <v>1</v>
      </c>
      <c r="W16" s="37">
        <f t="shared" si="5"/>
        <v>8.8994381845147949E-2</v>
      </c>
      <c r="X16" s="40">
        <f t="shared" si="6"/>
        <v>5.3935988997059364E-4</v>
      </c>
      <c r="Y16" s="39">
        <f t="shared" si="7"/>
        <v>0.44497190922573981</v>
      </c>
      <c r="Z16" s="37">
        <f t="shared" ref="Z16:Z79" si="28">CHOOSE(V16,Y16,U16+(0.5*Y16))</f>
        <v>0.44497190922573981</v>
      </c>
      <c r="AA16" s="37">
        <f t="shared" ref="AA16:AA79" si="29">CHOOSE(V16,Z16*SQRT((W16+X16)/3),SQRT((U16^2)+((Y16^2)/12)))</f>
        <v>7.6871496372308404E-2</v>
      </c>
      <c r="AB16" s="37">
        <v>0</v>
      </c>
      <c r="AC16" s="37">
        <f t="shared" si="8"/>
        <v>2.0682294340812387E-4</v>
      </c>
      <c r="AD16" s="40">
        <f t="shared" si="19"/>
        <v>2.0682294340812387E-4</v>
      </c>
      <c r="AE16" s="39">
        <f t="shared" si="27"/>
        <v>2.135865164283551E-3</v>
      </c>
      <c r="AF16" s="37">
        <f t="shared" si="20"/>
        <v>7.6639605960493851E-2</v>
      </c>
      <c r="AG16" s="37">
        <f t="shared" si="9"/>
        <v>6.8721461660823253E-5</v>
      </c>
      <c r="AH16" s="37">
        <f t="shared" si="10"/>
        <v>3.3609414340494094E-3</v>
      </c>
      <c r="AI16" s="40">
        <f t="shared" si="21"/>
        <v>3.4296628957102325E-3</v>
      </c>
      <c r="AJ16" s="39">
        <f t="shared" si="22"/>
        <v>1.2944637359294247E-5</v>
      </c>
      <c r="AK16" s="37">
        <f t="shared" si="11"/>
        <v>5.9663852321199633E-3</v>
      </c>
      <c r="AL16" s="37">
        <f t="shared" si="12"/>
        <v>4.8000000000000007E-4</v>
      </c>
      <c r="AM16" s="37">
        <f t="shared" si="13"/>
        <v>0.85400000000000009</v>
      </c>
      <c r="AN16" s="40">
        <f t="shared" si="23"/>
        <v>0.85448000000000013</v>
      </c>
      <c r="AO16" s="39">
        <f t="shared" si="14"/>
        <v>2.7606057248364893E-4</v>
      </c>
      <c r="AP16" s="37">
        <f t="shared" si="15"/>
        <v>2.1600000000000001E-2</v>
      </c>
      <c r="AQ16" s="40">
        <f t="shared" si="16"/>
        <v>2.2499999999999998E-3</v>
      </c>
      <c r="AR16" s="39">
        <f t="shared" si="24"/>
        <v>0.88224254641160205</v>
      </c>
      <c r="AS16" s="37">
        <f t="shared" si="25"/>
        <v>0.10200000000000001</v>
      </c>
      <c r="AT16" s="40">
        <f t="shared" si="26"/>
        <v>10.36329920626541</v>
      </c>
    </row>
    <row r="17" spans="17:46" x14ac:dyDescent="0.2">
      <c r="Q17">
        <v>10</v>
      </c>
      <c r="R17" s="39">
        <f t="shared" si="0"/>
        <v>170</v>
      </c>
      <c r="S17" s="37">
        <f t="shared" si="1"/>
        <v>6.6666666666666675E-4</v>
      </c>
      <c r="T17" s="37">
        <f t="shared" si="2"/>
        <v>5</v>
      </c>
      <c r="U17" s="40">
        <f t="shared" si="3"/>
        <v>2.6666666666666668E-2</v>
      </c>
      <c r="V17" s="39">
        <f t="shared" si="4"/>
        <v>1</v>
      </c>
      <c r="W17" s="37">
        <f t="shared" si="5"/>
        <v>9.3808315196468595E-2</v>
      </c>
      <c r="X17" s="40">
        <f t="shared" si="6"/>
        <v>5.6853524361496111E-4</v>
      </c>
      <c r="Y17" s="39">
        <f t="shared" si="7"/>
        <v>0.46904157598234303</v>
      </c>
      <c r="Z17" s="37">
        <f t="shared" si="28"/>
        <v>0.46904157598234303</v>
      </c>
      <c r="AA17" s="37">
        <f t="shared" si="29"/>
        <v>8.3192361622163341E-2</v>
      </c>
      <c r="AB17" s="37">
        <v>0</v>
      </c>
      <c r="AC17" s="37">
        <f t="shared" si="8"/>
        <v>2.4223391612954788E-4</v>
      </c>
      <c r="AD17" s="40">
        <f t="shared" si="19"/>
        <v>2.4223391612954788E-4</v>
      </c>
      <c r="AE17" s="39">
        <f t="shared" si="27"/>
        <v>2.5015550719058293E-3</v>
      </c>
      <c r="AF17" s="37">
        <f t="shared" si="20"/>
        <v>8.2941403700088373E-2</v>
      </c>
      <c r="AG17" s="37">
        <f t="shared" si="9"/>
        <v>8.048753443857009E-5</v>
      </c>
      <c r="AH17" s="37">
        <f t="shared" si="10"/>
        <v>3.7343793711660102E-3</v>
      </c>
      <c r="AI17" s="40">
        <f t="shared" si="21"/>
        <v>3.8148669056045801E-3</v>
      </c>
      <c r="AJ17" s="39">
        <f t="shared" si="22"/>
        <v>1.5160939829732297E-5</v>
      </c>
      <c r="AK17" s="37">
        <f t="shared" si="11"/>
        <v>6.4569795207793422E-3</v>
      </c>
      <c r="AL17" s="37">
        <f t="shared" si="12"/>
        <v>5.3333333333333347E-4</v>
      </c>
      <c r="AM17" s="37">
        <f t="shared" si="13"/>
        <v>0.85400000000000009</v>
      </c>
      <c r="AN17" s="40">
        <f t="shared" si="23"/>
        <v>0.85453333333333348</v>
      </c>
      <c r="AO17" s="39">
        <f t="shared" si="14"/>
        <v>3.233259930438286E-4</v>
      </c>
      <c r="AP17" s="37">
        <f t="shared" si="15"/>
        <v>2.1600000000000001E-2</v>
      </c>
      <c r="AQ17" s="40">
        <f t="shared" si="16"/>
        <v>2.2499999999999998E-3</v>
      </c>
      <c r="AR17" s="39">
        <f t="shared" si="24"/>
        <v>0.88276376014811142</v>
      </c>
      <c r="AS17" s="37">
        <f t="shared" si="25"/>
        <v>0.11333333333333334</v>
      </c>
      <c r="AT17" s="40">
        <f t="shared" si="26"/>
        <v>11.377739587335169</v>
      </c>
    </row>
    <row r="18" spans="17:46" x14ac:dyDescent="0.2">
      <c r="Q18">
        <v>11</v>
      </c>
      <c r="R18" s="39">
        <f t="shared" si="0"/>
        <v>170</v>
      </c>
      <c r="S18" s="37">
        <f t="shared" si="1"/>
        <v>7.3333333333333334E-4</v>
      </c>
      <c r="T18" s="37">
        <f t="shared" si="2"/>
        <v>5</v>
      </c>
      <c r="U18" s="40">
        <f t="shared" si="3"/>
        <v>2.9333333333333333E-2</v>
      </c>
      <c r="V18" s="39">
        <f t="shared" si="4"/>
        <v>1</v>
      </c>
      <c r="W18" s="37">
        <f t="shared" si="5"/>
        <v>9.8386991009990737E-2</v>
      </c>
      <c r="X18" s="40">
        <f t="shared" si="6"/>
        <v>5.9628479399994379E-4</v>
      </c>
      <c r="Y18" s="39">
        <f t="shared" si="7"/>
        <v>0.49193495504995371</v>
      </c>
      <c r="Z18" s="37">
        <f t="shared" si="28"/>
        <v>0.49193495504995371</v>
      </c>
      <c r="AA18" s="37">
        <f t="shared" si="29"/>
        <v>8.9356873909371096E-2</v>
      </c>
      <c r="AB18" s="37">
        <v>0</v>
      </c>
      <c r="AC18" s="37">
        <f t="shared" si="8"/>
        <v>2.7946278201993358E-4</v>
      </c>
      <c r="AD18" s="40">
        <f t="shared" si="19"/>
        <v>2.7946278201993358E-4</v>
      </c>
      <c r="AE18" s="39">
        <f t="shared" si="27"/>
        <v>2.8860184029597283E-3</v>
      </c>
      <c r="AF18" s="37">
        <f t="shared" si="20"/>
        <v>8.9087320131089651E-2</v>
      </c>
      <c r="AG18" s="37">
        <f t="shared" si="9"/>
        <v>9.2857642115229242E-5</v>
      </c>
      <c r="AH18" s="37">
        <f t="shared" si="10"/>
        <v>4.107817308282611E-3</v>
      </c>
      <c r="AI18" s="40">
        <f t="shared" si="21"/>
        <v>4.20067495039784E-3</v>
      </c>
      <c r="AJ18" s="39">
        <f t="shared" si="22"/>
        <v>1.7491020623998351E-5</v>
      </c>
      <c r="AK18" s="37">
        <f t="shared" si="11"/>
        <v>6.935438466023288E-3</v>
      </c>
      <c r="AL18" s="37">
        <f t="shared" si="12"/>
        <v>5.8666666666666676E-4</v>
      </c>
      <c r="AM18" s="37">
        <f t="shared" si="13"/>
        <v>0.85400000000000009</v>
      </c>
      <c r="AN18" s="40">
        <f t="shared" si="23"/>
        <v>0.85458666666666672</v>
      </c>
      <c r="AO18" s="39">
        <f t="shared" si="14"/>
        <v>3.7301787858254483E-4</v>
      </c>
      <c r="AP18" s="37">
        <f t="shared" si="15"/>
        <v>2.1600000000000001E-2</v>
      </c>
      <c r="AQ18" s="40">
        <f t="shared" si="16"/>
        <v>2.2499999999999998E-3</v>
      </c>
      <c r="AR18" s="39">
        <f t="shared" si="24"/>
        <v>0.88328982227766706</v>
      </c>
      <c r="AS18" s="37">
        <f t="shared" si="25"/>
        <v>0.12466666666666666</v>
      </c>
      <c r="AT18" s="40">
        <f t="shared" si="26"/>
        <v>12.368258752640623</v>
      </c>
    </row>
    <row r="19" spans="17:46" x14ac:dyDescent="0.2">
      <c r="Q19">
        <v>12</v>
      </c>
      <c r="R19" s="39">
        <f t="shared" si="0"/>
        <v>170</v>
      </c>
      <c r="S19" s="37">
        <f t="shared" si="1"/>
        <v>8.0000000000000004E-4</v>
      </c>
      <c r="T19" s="37">
        <f t="shared" si="2"/>
        <v>5</v>
      </c>
      <c r="U19" s="40">
        <f t="shared" si="3"/>
        <v>3.2000000000000001E-2</v>
      </c>
      <c r="V19" s="39">
        <f t="shared" si="4"/>
        <v>1</v>
      </c>
      <c r="W19" s="37">
        <f t="shared" si="5"/>
        <v>0.10276186062932104</v>
      </c>
      <c r="X19" s="40">
        <f t="shared" si="6"/>
        <v>6.2279915532921829E-4</v>
      </c>
      <c r="Y19" s="39">
        <f t="shared" si="7"/>
        <v>0.51380930314660533</v>
      </c>
      <c r="Z19" s="37">
        <f t="shared" si="28"/>
        <v>0.51380930314660533</v>
      </c>
      <c r="AA19" s="37">
        <f t="shared" si="29"/>
        <v>9.53826507340262E-2</v>
      </c>
      <c r="AB19" s="37">
        <v>0</v>
      </c>
      <c r="AC19" s="37">
        <f t="shared" si="8"/>
        <v>3.1842475213672306E-4</v>
      </c>
      <c r="AD19" s="40">
        <f t="shared" si="19"/>
        <v>3.1842475213672306E-4</v>
      </c>
      <c r="AE19" s="39">
        <f t="shared" si="27"/>
        <v>3.2883795401382732E-3</v>
      </c>
      <c r="AF19" s="37">
        <f t="shared" si="20"/>
        <v>9.5094919608674458E-2</v>
      </c>
      <c r="AG19" s="37">
        <f t="shared" si="9"/>
        <v>1.0580361170394901E-4</v>
      </c>
      <c r="AH19" s="37">
        <f t="shared" si="10"/>
        <v>4.4812552453992122E-3</v>
      </c>
      <c r="AI19" s="40">
        <f t="shared" si="21"/>
        <v>4.5870588571031608E-3</v>
      </c>
      <c r="AJ19" s="39">
        <f t="shared" si="22"/>
        <v>1.9929572970534986E-5</v>
      </c>
      <c r="AK19" s="37">
        <f t="shared" si="11"/>
        <v>7.4031294510477968E-3</v>
      </c>
      <c r="AL19" s="37">
        <f t="shared" si="12"/>
        <v>6.4000000000000005E-4</v>
      </c>
      <c r="AM19" s="37">
        <f t="shared" si="13"/>
        <v>0.85400000000000009</v>
      </c>
      <c r="AN19" s="40">
        <f t="shared" si="23"/>
        <v>0.85464000000000007</v>
      </c>
      <c r="AO19" s="39">
        <f t="shared" si="14"/>
        <v>4.2502305556287208E-4</v>
      </c>
      <c r="AP19" s="37">
        <f t="shared" si="15"/>
        <v>2.1600000000000001E-2</v>
      </c>
      <c r="AQ19" s="40">
        <f t="shared" si="16"/>
        <v>2.2499999999999998E-3</v>
      </c>
      <c r="AR19" s="39">
        <f t="shared" si="24"/>
        <v>0.88382050666480283</v>
      </c>
      <c r="AS19" s="37">
        <f t="shared" si="25"/>
        <v>0.13600000000000001</v>
      </c>
      <c r="AT19" s="40">
        <f t="shared" si="26"/>
        <v>13.335680064403807</v>
      </c>
    </row>
    <row r="20" spans="17:46" x14ac:dyDescent="0.2">
      <c r="Q20">
        <v>13</v>
      </c>
      <c r="R20" s="39">
        <f t="shared" si="0"/>
        <v>170</v>
      </c>
      <c r="S20" s="37">
        <f t="shared" si="1"/>
        <v>8.6666666666666674E-4</v>
      </c>
      <c r="T20" s="37">
        <f t="shared" si="2"/>
        <v>5</v>
      </c>
      <c r="U20" s="40">
        <f t="shared" si="3"/>
        <v>3.4666666666666672E-2</v>
      </c>
      <c r="V20" s="39">
        <f t="shared" si="4"/>
        <v>1</v>
      </c>
      <c r="W20" s="37">
        <f t="shared" si="5"/>
        <v>0.1069579356569675</v>
      </c>
      <c r="X20" s="40">
        <f t="shared" si="6"/>
        <v>6.4822991307253029E-4</v>
      </c>
      <c r="Y20" s="39">
        <f t="shared" si="7"/>
        <v>0.53478967828483759</v>
      </c>
      <c r="Z20" s="37">
        <f t="shared" si="28"/>
        <v>0.53478967828483759</v>
      </c>
      <c r="AA20" s="37">
        <f t="shared" si="29"/>
        <v>0.10128402860772515</v>
      </c>
      <c r="AB20" s="37">
        <v>0</v>
      </c>
      <c r="AC20" s="37">
        <f t="shared" si="8"/>
        <v>3.5904590578536707E-4</v>
      </c>
      <c r="AD20" s="40">
        <f t="shared" si="19"/>
        <v>3.5904590578536707E-4</v>
      </c>
      <c r="AE20" s="39">
        <f t="shared" si="27"/>
        <v>3.7078751027748739E-3</v>
      </c>
      <c r="AF20" s="37">
        <f t="shared" si="20"/>
        <v>0.10097849539694531</v>
      </c>
      <c r="AG20" s="37">
        <f t="shared" si="9"/>
        <v>1.1930088143178159E-4</v>
      </c>
      <c r="AH20" s="37">
        <f t="shared" si="10"/>
        <v>4.8546931825158152E-3</v>
      </c>
      <c r="AI20" s="40">
        <f t="shared" si="21"/>
        <v>4.973994063947597E-3</v>
      </c>
      <c r="AJ20" s="39">
        <f t="shared" si="22"/>
        <v>2.247197031984772E-5</v>
      </c>
      <c r="AK20" s="37">
        <f t="shared" si="11"/>
        <v>7.8611652049541125E-3</v>
      </c>
      <c r="AL20" s="37">
        <f t="shared" si="12"/>
        <v>6.9333333333333345E-4</v>
      </c>
      <c r="AM20" s="37">
        <f t="shared" si="13"/>
        <v>0.85400000000000009</v>
      </c>
      <c r="AN20" s="40">
        <f t="shared" si="23"/>
        <v>0.85469333333333342</v>
      </c>
      <c r="AO20" s="39">
        <f t="shared" si="14"/>
        <v>4.7924285703365255E-4</v>
      </c>
      <c r="AP20" s="37">
        <f t="shared" si="15"/>
        <v>2.1600000000000001E-2</v>
      </c>
      <c r="AQ20" s="40">
        <f t="shared" si="16"/>
        <v>2.2499999999999998E-3</v>
      </c>
      <c r="AR20" s="39">
        <f t="shared" si="24"/>
        <v>0.88435561616009994</v>
      </c>
      <c r="AS20" s="37">
        <f t="shared" si="25"/>
        <v>0.14733333333333334</v>
      </c>
      <c r="AT20" s="40">
        <f t="shared" si="26"/>
        <v>14.280790097216322</v>
      </c>
    </row>
    <row r="21" spans="17:46" x14ac:dyDescent="0.2">
      <c r="Q21">
        <v>14</v>
      </c>
      <c r="R21" s="39">
        <f t="shared" si="0"/>
        <v>170</v>
      </c>
      <c r="S21" s="37">
        <f t="shared" si="1"/>
        <v>9.3333333333333332E-4</v>
      </c>
      <c r="T21" s="37">
        <f t="shared" si="2"/>
        <v>5</v>
      </c>
      <c r="U21" s="40">
        <f t="shared" si="3"/>
        <v>3.7333333333333336E-2</v>
      </c>
      <c r="V21" s="39">
        <f t="shared" si="4"/>
        <v>1</v>
      </c>
      <c r="W21" s="37">
        <f t="shared" si="5"/>
        <v>0.11099549540409286</v>
      </c>
      <c r="X21" s="40">
        <f t="shared" si="6"/>
        <v>6.7269997214601724E-4</v>
      </c>
      <c r="Y21" s="39">
        <f t="shared" si="7"/>
        <v>0.5549774770204644</v>
      </c>
      <c r="Z21" s="37">
        <f t="shared" si="28"/>
        <v>0.5549774770204644</v>
      </c>
      <c r="AA21" s="37">
        <f t="shared" si="29"/>
        <v>0.10707287888144471</v>
      </c>
      <c r="AB21" s="37">
        <v>0</v>
      </c>
      <c r="AC21" s="37">
        <f t="shared" si="8"/>
        <v>4.0126104871861853E-4</v>
      </c>
      <c r="AD21" s="40">
        <f t="shared" si="19"/>
        <v>4.0126104871861853E-4</v>
      </c>
      <c r="AE21" s="39">
        <f t="shared" si="27"/>
        <v>4.1438318284194673E-3</v>
      </c>
      <c r="AF21" s="37">
        <f t="shared" si="20"/>
        <v>0.10674988303578388</v>
      </c>
      <c r="AG21" s="37">
        <f t="shared" si="9"/>
        <v>1.3332778907939642E-4</v>
      </c>
      <c r="AH21" s="37">
        <f t="shared" si="10"/>
        <v>5.2281311196324155E-3</v>
      </c>
      <c r="AI21" s="40">
        <f t="shared" si="21"/>
        <v>5.3614589087118119E-3</v>
      </c>
      <c r="AJ21" s="39">
        <f t="shared" si="22"/>
        <v>2.5114132293451314E-5</v>
      </c>
      <c r="AK21" s="37">
        <f t="shared" si="11"/>
        <v>8.3104671232723821E-3</v>
      </c>
      <c r="AL21" s="37">
        <f t="shared" si="12"/>
        <v>7.4666666666666675E-4</v>
      </c>
      <c r="AM21" s="37">
        <f t="shared" si="13"/>
        <v>0.85400000000000009</v>
      </c>
      <c r="AN21" s="40">
        <f t="shared" si="23"/>
        <v>0.85474666666666677</v>
      </c>
      <c r="AO21" s="39">
        <f t="shared" si="14"/>
        <v>5.3559026382321638E-4</v>
      </c>
      <c r="AP21" s="37">
        <f t="shared" si="15"/>
        <v>2.1600000000000001E-2</v>
      </c>
      <c r="AQ21" s="40">
        <f t="shared" si="16"/>
        <v>2.2499999999999998E-3</v>
      </c>
      <c r="AR21" s="39">
        <f t="shared" si="24"/>
        <v>0.88489497688792029</v>
      </c>
      <c r="AS21" s="37">
        <f t="shared" si="25"/>
        <v>0.15866666666666668</v>
      </c>
      <c r="AT21" s="40">
        <f t="shared" si="26"/>
        <v>15.204340600926573</v>
      </c>
    </row>
    <row r="22" spans="17:46" x14ac:dyDescent="0.2">
      <c r="Q22">
        <v>15</v>
      </c>
      <c r="R22" s="39">
        <f t="shared" si="0"/>
        <v>170</v>
      </c>
      <c r="S22" s="37">
        <f t="shared" si="1"/>
        <v>1E-3</v>
      </c>
      <c r="T22" s="37">
        <f t="shared" si="2"/>
        <v>5</v>
      </c>
      <c r="U22" s="40">
        <f t="shared" si="3"/>
        <v>0.04</v>
      </c>
      <c r="V22" s="39">
        <f t="shared" si="4"/>
        <v>1</v>
      </c>
      <c r="W22" s="37">
        <f t="shared" si="5"/>
        <v>0.11489125293076057</v>
      </c>
      <c r="X22" s="40">
        <f t="shared" si="6"/>
        <v>6.9631062382279117E-4</v>
      </c>
      <c r="Y22" s="39">
        <f t="shared" si="7"/>
        <v>0.57445626465380295</v>
      </c>
      <c r="Z22" s="37">
        <f t="shared" si="28"/>
        <v>0.57445626465380295</v>
      </c>
      <c r="AA22" s="37">
        <f t="shared" si="29"/>
        <v>0.11275917697023233</v>
      </c>
      <c r="AB22" s="37">
        <v>0</v>
      </c>
      <c r="AC22" s="37">
        <f t="shared" si="8"/>
        <v>4.4501211968514613E-4</v>
      </c>
      <c r="AD22" s="40">
        <f t="shared" si="19"/>
        <v>4.4501211968514613E-4</v>
      </c>
      <c r="AE22" s="39">
        <f t="shared" si="27"/>
        <v>4.595650117230423E-3</v>
      </c>
      <c r="AF22" s="37">
        <f t="shared" si="20"/>
        <v>0.11241902784841926</v>
      </c>
      <c r="AG22" s="37">
        <f t="shared" si="9"/>
        <v>1.4786504252188888E-4</v>
      </c>
      <c r="AH22" s="37">
        <f t="shared" si="10"/>
        <v>5.6015690567490159E-3</v>
      </c>
      <c r="AI22" s="40">
        <f t="shared" si="21"/>
        <v>5.7494340992709052E-3</v>
      </c>
      <c r="AJ22" s="39">
        <f t="shared" si="22"/>
        <v>2.7852424952911649E-5</v>
      </c>
      <c r="AK22" s="37">
        <f t="shared" si="11"/>
        <v>8.7518094483659235E-3</v>
      </c>
      <c r="AL22" s="37">
        <f t="shared" si="12"/>
        <v>8.0000000000000004E-4</v>
      </c>
      <c r="AM22" s="37">
        <f t="shared" si="13"/>
        <v>0.85400000000000009</v>
      </c>
      <c r="AN22" s="40">
        <f t="shared" si="23"/>
        <v>0.85480000000000012</v>
      </c>
      <c r="AO22" s="39">
        <f t="shared" si="14"/>
        <v>5.9398777765203221E-4</v>
      </c>
      <c r="AP22" s="37">
        <f t="shared" si="15"/>
        <v>2.1600000000000001E-2</v>
      </c>
      <c r="AQ22" s="40">
        <f t="shared" si="16"/>
        <v>2.2499999999999998E-3</v>
      </c>
      <c r="AR22" s="39">
        <f t="shared" si="24"/>
        <v>0.88543843399660815</v>
      </c>
      <c r="AS22" s="37">
        <f t="shared" si="25"/>
        <v>0.17</v>
      </c>
      <c r="AT22" s="40">
        <f t="shared" si="26"/>
        <v>16.107050352171122</v>
      </c>
    </row>
    <row r="23" spans="17:46" x14ac:dyDescent="0.2">
      <c r="Q23">
        <v>16</v>
      </c>
      <c r="R23" s="39">
        <f t="shared" si="0"/>
        <v>170</v>
      </c>
      <c r="S23" s="37">
        <f t="shared" si="1"/>
        <v>1.0666666666666667E-3</v>
      </c>
      <c r="T23" s="37">
        <f t="shared" si="2"/>
        <v>5</v>
      </c>
      <c r="U23" s="40">
        <f t="shared" si="3"/>
        <v>4.2666666666666672E-2</v>
      </c>
      <c r="V23" s="39">
        <f t="shared" si="4"/>
        <v>1</v>
      </c>
      <c r="W23" s="37">
        <f t="shared" si="5"/>
        <v>0.11865917579353062</v>
      </c>
      <c r="X23" s="40">
        <f t="shared" si="6"/>
        <v>7.1914651996079159E-4</v>
      </c>
      <c r="Y23" s="39">
        <f t="shared" si="7"/>
        <v>0.59329587896765323</v>
      </c>
      <c r="Z23" s="37">
        <f t="shared" si="28"/>
        <v>0.59329587896765323</v>
      </c>
      <c r="AA23" s="37">
        <f t="shared" si="29"/>
        <v>0.11835141099616429</v>
      </c>
      <c r="AB23" s="37">
        <v>0</v>
      </c>
      <c r="AC23" s="37">
        <f t="shared" si="8"/>
        <v>4.9024697696740504E-4</v>
      </c>
      <c r="AD23" s="40">
        <f t="shared" si="19"/>
        <v>4.9024697696740504E-4</v>
      </c>
      <c r="AE23" s="39">
        <f t="shared" si="27"/>
        <v>5.0627915005239735E-3</v>
      </c>
      <c r="AF23" s="37">
        <f t="shared" si="20"/>
        <v>0.11799439235167464</v>
      </c>
      <c r="AG23" s="37">
        <f t="shared" si="9"/>
        <v>1.6289531652935894E-4</v>
      </c>
      <c r="AH23" s="37">
        <f t="shared" si="10"/>
        <v>5.9750069938656171E-3</v>
      </c>
      <c r="AI23" s="40">
        <f t="shared" si="21"/>
        <v>6.137902310394976E-3</v>
      </c>
      <c r="AJ23" s="39">
        <f t="shared" si="22"/>
        <v>3.0683584851660446E-5</v>
      </c>
      <c r="AK23" s="37">
        <f t="shared" si="11"/>
        <v>9.1858509862759175E-3</v>
      </c>
      <c r="AL23" s="37">
        <f t="shared" si="12"/>
        <v>8.5333333333333344E-4</v>
      </c>
      <c r="AM23" s="37">
        <f t="shared" si="13"/>
        <v>0.85400000000000009</v>
      </c>
      <c r="AN23" s="40">
        <f t="shared" si="23"/>
        <v>0.85485333333333346</v>
      </c>
      <c r="AO23" s="39">
        <f t="shared" si="14"/>
        <v>6.5436580144272389E-4</v>
      </c>
      <c r="AP23" s="37">
        <f t="shared" si="15"/>
        <v>2.1600000000000001E-2</v>
      </c>
      <c r="AQ23" s="40">
        <f t="shared" si="16"/>
        <v>2.2499999999999998E-3</v>
      </c>
      <c r="AR23" s="39">
        <f t="shared" si="24"/>
        <v>0.88598584842213857</v>
      </c>
      <c r="AS23" s="37">
        <f t="shared" si="25"/>
        <v>0.18133333333333335</v>
      </c>
      <c r="AT23" s="40">
        <f t="shared" si="26"/>
        <v>16.989606898574198</v>
      </c>
    </row>
    <row r="24" spans="17:46" x14ac:dyDescent="0.2">
      <c r="Q24">
        <v>17</v>
      </c>
      <c r="R24" s="39">
        <f t="shared" si="0"/>
        <v>170</v>
      </c>
      <c r="S24" s="37">
        <f t="shared" si="1"/>
        <v>1.1333333333333334E-3</v>
      </c>
      <c r="T24" s="37">
        <f t="shared" si="2"/>
        <v>5</v>
      </c>
      <c r="U24" s="40">
        <f t="shared" si="3"/>
        <v>4.5333333333333337E-2</v>
      </c>
      <c r="V24" s="39">
        <f t="shared" si="4"/>
        <v>1</v>
      </c>
      <c r="W24" s="37">
        <f t="shared" si="5"/>
        <v>0.12231107881136524</v>
      </c>
      <c r="X24" s="40">
        <f t="shared" si="6"/>
        <v>7.4127926552342558E-4</v>
      </c>
      <c r="Y24" s="39">
        <f t="shared" si="7"/>
        <v>0.61155539405682635</v>
      </c>
      <c r="Z24" s="37">
        <f t="shared" si="28"/>
        <v>0.61155539405682635</v>
      </c>
      <c r="AA24" s="37">
        <f t="shared" si="29"/>
        <v>0.12385688235588199</v>
      </c>
      <c r="AB24" s="37">
        <v>0</v>
      </c>
      <c r="AC24" s="37">
        <f t="shared" si="8"/>
        <v>5.3691845574215782E-4</v>
      </c>
      <c r="AD24" s="40">
        <f t="shared" si="19"/>
        <v>5.3691845574215782E-4</v>
      </c>
      <c r="AE24" s="39">
        <f t="shared" si="27"/>
        <v>5.5447689061152248E-3</v>
      </c>
      <c r="AF24" s="37">
        <f t="shared" si="20"/>
        <v>0.12348325591681195</v>
      </c>
      <c r="AG24" s="37">
        <f t="shared" si="9"/>
        <v>1.784029395542574E-4</v>
      </c>
      <c r="AH24" s="37">
        <f t="shared" si="10"/>
        <v>6.3484449309822184E-3</v>
      </c>
      <c r="AI24" s="40">
        <f t="shared" si="21"/>
        <v>6.5268478705364759E-3</v>
      </c>
      <c r="AJ24" s="39">
        <f t="shared" si="22"/>
        <v>3.3604660037061965E-5</v>
      </c>
      <c r="AK24" s="37">
        <f t="shared" si="11"/>
        <v>9.6131584352865222E-3</v>
      </c>
      <c r="AL24" s="37">
        <f t="shared" si="12"/>
        <v>9.0666666666666673E-4</v>
      </c>
      <c r="AM24" s="37">
        <f t="shared" si="13"/>
        <v>0.85400000000000009</v>
      </c>
      <c r="AN24" s="40">
        <f t="shared" si="23"/>
        <v>0.8549066666666667</v>
      </c>
      <c r="AO24" s="39">
        <f t="shared" si="14"/>
        <v>7.1666138111539299E-4</v>
      </c>
      <c r="AP24" s="37">
        <f t="shared" si="15"/>
        <v>2.1600000000000001E-2</v>
      </c>
      <c r="AQ24" s="40">
        <f t="shared" si="16"/>
        <v>2.2499999999999998E-3</v>
      </c>
      <c r="AR24" s="39">
        <f t="shared" si="24"/>
        <v>0.88653709437406059</v>
      </c>
      <c r="AS24" s="37">
        <f t="shared" si="25"/>
        <v>0.19266666666666668</v>
      </c>
      <c r="AT24" s="40">
        <f t="shared" si="26"/>
        <v>17.852668200569379</v>
      </c>
    </row>
    <row r="25" spans="17:46" x14ac:dyDescent="0.2">
      <c r="Q25">
        <v>18</v>
      </c>
      <c r="R25" s="39">
        <f t="shared" si="0"/>
        <v>170</v>
      </c>
      <c r="S25" s="37">
        <f t="shared" si="1"/>
        <v>1.2000000000000001E-3</v>
      </c>
      <c r="T25" s="37">
        <f t="shared" si="2"/>
        <v>5</v>
      </c>
      <c r="U25" s="40">
        <f t="shared" si="3"/>
        <v>4.8000000000000001E-2</v>
      </c>
      <c r="V25" s="39">
        <f t="shared" si="4"/>
        <v>1</v>
      </c>
      <c r="W25" s="37">
        <f t="shared" si="5"/>
        <v>0.12585706178041819</v>
      </c>
      <c r="X25" s="40">
        <f t="shared" si="6"/>
        <v>7.6277007139647387E-4</v>
      </c>
      <c r="Y25" s="39">
        <f t="shared" si="7"/>
        <v>0.62928530890209111</v>
      </c>
      <c r="Z25" s="37">
        <f t="shared" si="28"/>
        <v>0.62928530890209111</v>
      </c>
      <c r="AA25" s="37">
        <f t="shared" si="29"/>
        <v>0.12928193146932615</v>
      </c>
      <c r="AB25" s="37">
        <v>0</v>
      </c>
      <c r="AC25" s="37">
        <f t="shared" si="8"/>
        <v>5.8498362315538403E-4</v>
      </c>
      <c r="AD25" s="40">
        <f t="shared" si="19"/>
        <v>5.8498362315538403E-4</v>
      </c>
      <c r="AE25" s="39">
        <f t="shared" si="27"/>
        <v>6.0411389654600736E-3</v>
      </c>
      <c r="AF25" s="37">
        <f t="shared" si="20"/>
        <v>0.12889193983727304</v>
      </c>
      <c r="AG25" s="37">
        <f t="shared" si="9"/>
        <v>1.9437364621367799E-4</v>
      </c>
      <c r="AH25" s="37">
        <f t="shared" si="10"/>
        <v>6.7218828680988187E-3</v>
      </c>
      <c r="AI25" s="40">
        <f t="shared" si="21"/>
        <v>6.9162565143124971E-3</v>
      </c>
      <c r="AJ25" s="39">
        <f t="shared" si="22"/>
        <v>3.6612963427030748E-5</v>
      </c>
      <c r="AK25" s="37">
        <f t="shared" si="11"/>
        <v>1.0034223907424759E-2</v>
      </c>
      <c r="AL25" s="37">
        <f t="shared" si="12"/>
        <v>9.6000000000000013E-4</v>
      </c>
      <c r="AM25" s="37">
        <f t="shared" si="13"/>
        <v>0.85400000000000009</v>
      </c>
      <c r="AN25" s="40">
        <f t="shared" si="23"/>
        <v>0.85496000000000005</v>
      </c>
      <c r="AO25" s="39">
        <f t="shared" si="14"/>
        <v>7.80817211285715E-4</v>
      </c>
      <c r="AP25" s="37">
        <f t="shared" si="15"/>
        <v>2.1600000000000001E-2</v>
      </c>
      <c r="AQ25" s="40">
        <f t="shared" si="16"/>
        <v>2.2499999999999998E-3</v>
      </c>
      <c r="AR25" s="39">
        <f t="shared" si="24"/>
        <v>0.88709205734875363</v>
      </c>
      <c r="AS25" s="37">
        <f t="shared" si="25"/>
        <v>0.20400000000000001</v>
      </c>
      <c r="AT25" s="40">
        <f t="shared" si="26"/>
        <v>18.696864176218085</v>
      </c>
    </row>
    <row r="26" spans="17:46" x14ac:dyDescent="0.2">
      <c r="Q26">
        <v>19</v>
      </c>
      <c r="R26" s="39">
        <f t="shared" si="0"/>
        <v>170</v>
      </c>
      <c r="S26" s="37">
        <f t="shared" si="1"/>
        <v>1.2666666666666668E-3</v>
      </c>
      <c r="T26" s="37">
        <f t="shared" si="2"/>
        <v>5</v>
      </c>
      <c r="U26" s="40">
        <f t="shared" si="3"/>
        <v>5.0666666666666672E-2</v>
      </c>
      <c r="V26" s="39">
        <f t="shared" si="4"/>
        <v>1</v>
      </c>
      <c r="W26" s="37">
        <f t="shared" si="5"/>
        <v>0.12930583900195691</v>
      </c>
      <c r="X26" s="40">
        <f t="shared" si="6"/>
        <v>7.8367175152701163E-4</v>
      </c>
      <c r="Y26" s="39">
        <f t="shared" si="7"/>
        <v>0.64652919500978467</v>
      </c>
      <c r="Z26" s="37">
        <f t="shared" si="28"/>
        <v>0.64652919500978467</v>
      </c>
      <c r="AA26" s="37">
        <f t="shared" si="29"/>
        <v>0.13463211045283899</v>
      </c>
      <c r="AB26" s="37">
        <v>0</v>
      </c>
      <c r="AC26" s="37">
        <f t="shared" si="8"/>
        <v>6.3440318077449039E-4</v>
      </c>
      <c r="AD26" s="40">
        <f t="shared" si="19"/>
        <v>6.3440318077449039E-4</v>
      </c>
      <c r="AE26" s="39">
        <f t="shared" si="27"/>
        <v>6.5514958427658173E-3</v>
      </c>
      <c r="AF26" s="37">
        <f t="shared" si="20"/>
        <v>0.13422597948089635</v>
      </c>
      <c r="AG26" s="37">
        <f t="shared" si="9"/>
        <v>2.107943787409903E-4</v>
      </c>
      <c r="AH26" s="37">
        <f t="shared" si="10"/>
        <v>7.0953208052154208E-3</v>
      </c>
      <c r="AI26" s="40">
        <f t="shared" si="21"/>
        <v>7.306115183956411E-3</v>
      </c>
      <c r="AJ26" s="39">
        <f t="shared" si="22"/>
        <v>3.9706035410701927E-5</v>
      </c>
      <c r="AK26" s="37">
        <f t="shared" si="11"/>
        <v>1.0449478330492404E-2</v>
      </c>
      <c r="AL26" s="37">
        <f t="shared" si="12"/>
        <v>1.0133333333333335E-3</v>
      </c>
      <c r="AM26" s="37">
        <f t="shared" si="13"/>
        <v>0.85400000000000009</v>
      </c>
      <c r="AN26" s="40">
        <f t="shared" si="23"/>
        <v>0.8550133333333334</v>
      </c>
      <c r="AO26" s="39">
        <f t="shared" si="14"/>
        <v>8.4678083767748239E-4</v>
      </c>
      <c r="AP26" s="37">
        <f t="shared" si="15"/>
        <v>2.1600000000000001E-2</v>
      </c>
      <c r="AQ26" s="40">
        <f t="shared" si="16"/>
        <v>2.2499999999999998E-3</v>
      </c>
      <c r="AR26" s="39">
        <f t="shared" si="24"/>
        <v>0.88765063253574172</v>
      </c>
      <c r="AS26" s="37">
        <f t="shared" si="25"/>
        <v>0.21533333333333335</v>
      </c>
      <c r="AT26" s="40">
        <f t="shared" si="26"/>
        <v>19.522798154519464</v>
      </c>
    </row>
    <row r="27" spans="17:46" x14ac:dyDescent="0.2">
      <c r="Q27">
        <v>20</v>
      </c>
      <c r="R27" s="39">
        <f t="shared" si="0"/>
        <v>170</v>
      </c>
      <c r="S27" s="37">
        <f t="shared" si="1"/>
        <v>1.3333333333333335E-3</v>
      </c>
      <c r="T27" s="37">
        <f t="shared" si="2"/>
        <v>5</v>
      </c>
      <c r="U27" s="40">
        <f t="shared" si="3"/>
        <v>5.3333333333333337E-2</v>
      </c>
      <c r="V27" s="39">
        <f t="shared" si="4"/>
        <v>1</v>
      </c>
      <c r="W27" s="37">
        <f t="shared" si="5"/>
        <v>0.13266499161421599</v>
      </c>
      <c r="X27" s="40">
        <f t="shared" si="6"/>
        <v>8.0403025220736964E-4</v>
      </c>
      <c r="Y27" s="39">
        <f t="shared" si="7"/>
        <v>0.66332495807108005</v>
      </c>
      <c r="Z27" s="37">
        <f t="shared" si="28"/>
        <v>0.66332495807108005</v>
      </c>
      <c r="AA27" s="37">
        <f t="shared" si="29"/>
        <v>0.1399123173291357</v>
      </c>
      <c r="AB27" s="37">
        <v>0</v>
      </c>
      <c r="AC27" s="37">
        <f t="shared" si="8"/>
        <v>6.8514097891430681E-4</v>
      </c>
      <c r="AD27" s="40">
        <f t="shared" si="19"/>
        <v>6.8514097891430681E-4</v>
      </c>
      <c r="AE27" s="39">
        <f t="shared" si="27"/>
        <v>7.0754662194248532E-3</v>
      </c>
      <c r="AF27" s="37">
        <f t="shared" si="20"/>
        <v>0.13949025809503096</v>
      </c>
      <c r="AG27" s="37">
        <f t="shared" si="9"/>
        <v>2.2765312560999471E-4</v>
      </c>
      <c r="AH27" s="37">
        <f t="shared" si="10"/>
        <v>7.4687587423320203E-3</v>
      </c>
      <c r="AI27" s="40">
        <f t="shared" si="21"/>
        <v>7.6964118679420154E-3</v>
      </c>
      <c r="AJ27" s="39">
        <f t="shared" si="22"/>
        <v>4.2881613451059717E-5</v>
      </c>
      <c r="AK27" s="37">
        <f t="shared" si="11"/>
        <v>1.0859301864779992E-2</v>
      </c>
      <c r="AL27" s="37">
        <f t="shared" si="12"/>
        <v>1.0666666666666669E-3</v>
      </c>
      <c r="AM27" s="37">
        <f t="shared" si="13"/>
        <v>0.85400000000000009</v>
      </c>
      <c r="AN27" s="40">
        <f t="shared" si="23"/>
        <v>0.85506666666666675</v>
      </c>
      <c r="AO27" s="39">
        <f t="shared" si="14"/>
        <v>9.1450400886066243E-4</v>
      </c>
      <c r="AP27" s="37">
        <f t="shared" si="15"/>
        <v>2.1600000000000001E-2</v>
      </c>
      <c r="AQ27" s="40">
        <f t="shared" si="16"/>
        <v>2.2499999999999998E-3</v>
      </c>
      <c r="AR27" s="39">
        <f t="shared" si="24"/>
        <v>0.88821272352238356</v>
      </c>
      <c r="AS27" s="37">
        <f t="shared" si="25"/>
        <v>0.22666666666666668</v>
      </c>
      <c r="AT27" s="40">
        <f t="shared" si="26"/>
        <v>20.331048242647199</v>
      </c>
    </row>
    <row r="28" spans="17:46" x14ac:dyDescent="0.2">
      <c r="Q28">
        <v>21</v>
      </c>
      <c r="R28" s="39">
        <f t="shared" si="0"/>
        <v>170</v>
      </c>
      <c r="S28" s="37">
        <f t="shared" si="1"/>
        <v>1.4E-3</v>
      </c>
      <c r="T28" s="37">
        <f t="shared" si="2"/>
        <v>5</v>
      </c>
      <c r="U28" s="40">
        <f t="shared" si="3"/>
        <v>5.5999999999999994E-2</v>
      </c>
      <c r="V28" s="39">
        <f t="shared" si="4"/>
        <v>1</v>
      </c>
      <c r="W28" s="37">
        <f t="shared" si="5"/>
        <v>0.13594116374373141</v>
      </c>
      <c r="X28" s="40">
        <f t="shared" si="6"/>
        <v>8.2388584087109942E-4</v>
      </c>
      <c r="Y28" s="39">
        <f t="shared" si="7"/>
        <v>0.67970581871865721</v>
      </c>
      <c r="Z28" s="37">
        <f t="shared" si="28"/>
        <v>0.67970581871865721</v>
      </c>
      <c r="AA28" s="37">
        <f t="shared" si="29"/>
        <v>0.1451269018343215</v>
      </c>
      <c r="AB28" s="37">
        <v>0</v>
      </c>
      <c r="AC28" s="37">
        <f t="shared" si="8"/>
        <v>7.371636172610077E-4</v>
      </c>
      <c r="AD28" s="40">
        <f t="shared" si="19"/>
        <v>7.371636172610077E-4</v>
      </c>
      <c r="AE28" s="39">
        <f t="shared" si="27"/>
        <v>7.6127051696489581E-3</v>
      </c>
      <c r="AF28" s="37">
        <f t="shared" si="20"/>
        <v>0.14468911229437634</v>
      </c>
      <c r="AG28" s="37">
        <f t="shared" si="9"/>
        <v>2.4493878883345536E-4</v>
      </c>
      <c r="AH28" s="37">
        <f t="shared" si="10"/>
        <v>7.8421966794486216E-3</v>
      </c>
      <c r="AI28" s="40">
        <f t="shared" si="21"/>
        <v>8.0871354682820768E-3</v>
      </c>
      <c r="AJ28" s="39">
        <f t="shared" si="22"/>
        <v>4.6137607088781565E-5</v>
      </c>
      <c r="AK28" s="37">
        <f t="shared" si="11"/>
        <v>1.1264032115284E-2</v>
      </c>
      <c r="AL28" s="37">
        <f t="shared" si="12"/>
        <v>1.1200000000000001E-3</v>
      </c>
      <c r="AM28" s="37">
        <f t="shared" si="13"/>
        <v>0.85400000000000009</v>
      </c>
      <c r="AN28" s="40">
        <f t="shared" si="23"/>
        <v>0.8551200000000001</v>
      </c>
      <c r="AO28" s="39">
        <f t="shared" si="14"/>
        <v>9.8394214317712838E-4</v>
      </c>
      <c r="AP28" s="37">
        <f t="shared" si="15"/>
        <v>2.1600000000000001E-2</v>
      </c>
      <c r="AQ28" s="40">
        <f t="shared" si="16"/>
        <v>2.2499999999999998E-3</v>
      </c>
      <c r="AR28" s="39">
        <f t="shared" si="24"/>
        <v>0.88877824122872029</v>
      </c>
      <c r="AS28" s="37">
        <f t="shared" si="25"/>
        <v>0.23799999999999999</v>
      </c>
      <c r="AT28" s="40">
        <f t="shared" si="26"/>
        <v>21.122168612385309</v>
      </c>
    </row>
    <row r="29" spans="17:46" x14ac:dyDescent="0.2">
      <c r="Q29">
        <v>22</v>
      </c>
      <c r="R29" s="39">
        <f t="shared" si="0"/>
        <v>170</v>
      </c>
      <c r="S29" s="37">
        <f t="shared" si="1"/>
        <v>1.4666666666666667E-3</v>
      </c>
      <c r="T29" s="37">
        <f t="shared" si="2"/>
        <v>5</v>
      </c>
      <c r="U29" s="40">
        <f t="shared" si="3"/>
        <v>5.8666666666666666E-2</v>
      </c>
      <c r="V29" s="39">
        <f t="shared" si="4"/>
        <v>1</v>
      </c>
      <c r="W29" s="37">
        <f t="shared" si="5"/>
        <v>0.1391402170474087</v>
      </c>
      <c r="X29" s="40">
        <f t="shared" si="6"/>
        <v>8.4327404271156766E-4</v>
      </c>
      <c r="Y29" s="39">
        <f t="shared" si="7"/>
        <v>0.69570108523704366</v>
      </c>
      <c r="Z29" s="37">
        <f t="shared" si="28"/>
        <v>0.69570108523704366</v>
      </c>
      <c r="AA29" s="37">
        <f t="shared" si="29"/>
        <v>0.15027974989733675</v>
      </c>
      <c r="AB29" s="37">
        <v>0</v>
      </c>
      <c r="AC29" s="37">
        <f t="shared" si="8"/>
        <v>7.9044011302221312E-4</v>
      </c>
      <c r="AD29" s="40">
        <f t="shared" si="19"/>
        <v>7.9044011302221312E-4</v>
      </c>
      <c r="AE29" s="39">
        <f t="shared" si="27"/>
        <v>8.1628927334479774E-3</v>
      </c>
      <c r="AF29" s="37">
        <f t="shared" si="20"/>
        <v>0.14982641628558679</v>
      </c>
      <c r="AG29" s="37">
        <f t="shared" si="9"/>
        <v>2.6264107369868879E-4</v>
      </c>
      <c r="AH29" s="37">
        <f t="shared" si="10"/>
        <v>8.2156346165652219E-3</v>
      </c>
      <c r="AI29" s="40">
        <f t="shared" si="21"/>
        <v>8.4782756902639107E-3</v>
      </c>
      <c r="AJ29" s="39">
        <f t="shared" si="22"/>
        <v>4.9472077172411971E-5</v>
      </c>
      <c r="AK29" s="37">
        <f t="shared" si="11"/>
        <v>1.1663970688583413E-2</v>
      </c>
      <c r="AL29" s="37">
        <f t="shared" si="12"/>
        <v>1.1733333333333335E-3</v>
      </c>
      <c r="AM29" s="37">
        <f t="shared" si="13"/>
        <v>0.85400000000000009</v>
      </c>
      <c r="AN29" s="40">
        <f t="shared" si="23"/>
        <v>0.85517333333333345</v>
      </c>
      <c r="AO29" s="39">
        <f t="shared" si="14"/>
        <v>1.0550538857981516E-3</v>
      </c>
      <c r="AP29" s="37">
        <f t="shared" si="15"/>
        <v>2.1600000000000001E-2</v>
      </c>
      <c r="AQ29" s="40">
        <f t="shared" si="16"/>
        <v>2.2499999999999998E-3</v>
      </c>
      <c r="AR29" s="39">
        <f t="shared" si="24"/>
        <v>0.88934710302241771</v>
      </c>
      <c r="AS29" s="37">
        <f t="shared" si="25"/>
        <v>0.24933333333333332</v>
      </c>
      <c r="AT29" s="40">
        <f t="shared" si="26"/>
        <v>21.896690710811125</v>
      </c>
    </row>
    <row r="30" spans="17:46" x14ac:dyDescent="0.2">
      <c r="Q30">
        <v>23</v>
      </c>
      <c r="R30" s="39">
        <f t="shared" si="0"/>
        <v>170</v>
      </c>
      <c r="S30" s="37">
        <f t="shared" si="1"/>
        <v>1.5333333333333334E-3</v>
      </c>
      <c r="T30" s="37">
        <f t="shared" si="2"/>
        <v>5</v>
      </c>
      <c r="U30" s="40">
        <f t="shared" si="3"/>
        <v>6.133333333333333E-2</v>
      </c>
      <c r="V30" s="39">
        <f t="shared" si="4"/>
        <v>1</v>
      </c>
      <c r="W30" s="37">
        <f t="shared" si="5"/>
        <v>0.14226735395022991</v>
      </c>
      <c r="X30" s="40">
        <f t="shared" si="6"/>
        <v>8.6222638757715094E-4</v>
      </c>
      <c r="Y30" s="39">
        <f t="shared" si="7"/>
        <v>0.71133676975114968</v>
      </c>
      <c r="Z30" s="37">
        <f t="shared" si="28"/>
        <v>0.71133676975114968</v>
      </c>
      <c r="AA30" s="37">
        <f t="shared" si="29"/>
        <v>0.15537435186341664</v>
      </c>
      <c r="AB30" s="37">
        <v>0</v>
      </c>
      <c r="AC30" s="37">
        <f t="shared" si="8"/>
        <v>8.449416225941881E-4</v>
      </c>
      <c r="AD30" s="40">
        <f t="shared" si="19"/>
        <v>8.449416225941881E-4</v>
      </c>
      <c r="AE30" s="39">
        <f t="shared" si="27"/>
        <v>8.7257310422807679E-3</v>
      </c>
      <c r="AF30" s="37">
        <f t="shared" si="20"/>
        <v>0.15490564988492872</v>
      </c>
      <c r="AG30" s="37">
        <f t="shared" si="9"/>
        <v>2.8075039628538381E-4</v>
      </c>
      <c r="AH30" s="37">
        <f t="shared" si="10"/>
        <v>8.589072553681824E-3</v>
      </c>
      <c r="AI30" s="40">
        <f t="shared" si="21"/>
        <v>8.8698229499672085E-3</v>
      </c>
      <c r="AJ30" s="39">
        <f t="shared" si="22"/>
        <v>5.2883218438065252E-5</v>
      </c>
      <c r="AK30" s="37">
        <f t="shared" si="11"/>
        <v>1.2059388488007156E-2</v>
      </c>
      <c r="AL30" s="37">
        <f t="shared" si="12"/>
        <v>1.2266666666666667E-3</v>
      </c>
      <c r="AM30" s="37">
        <f t="shared" si="13"/>
        <v>0.85400000000000009</v>
      </c>
      <c r="AN30" s="40">
        <f t="shared" si="23"/>
        <v>0.8552266666666668</v>
      </c>
      <c r="AO30" s="39">
        <f t="shared" si="14"/>
        <v>1.1278007372147896E-3</v>
      </c>
      <c r="AP30" s="37">
        <f t="shared" si="15"/>
        <v>2.1600000000000001E-2</v>
      </c>
      <c r="AQ30" s="40">
        <f t="shared" si="16"/>
        <v>2.2499999999999998E-3</v>
      </c>
      <c r="AR30" s="39">
        <f t="shared" si="24"/>
        <v>0.88991923197644285</v>
      </c>
      <c r="AS30" s="37">
        <f t="shared" si="25"/>
        <v>0.26066666666666666</v>
      </c>
      <c r="AT30" s="40">
        <f t="shared" si="26"/>
        <v>22.655124400018451</v>
      </c>
    </row>
    <row r="31" spans="17:46" x14ac:dyDescent="0.2">
      <c r="Q31">
        <v>24</v>
      </c>
      <c r="R31" s="39">
        <f t="shared" si="0"/>
        <v>170</v>
      </c>
      <c r="S31" s="37">
        <f t="shared" si="1"/>
        <v>1.6000000000000001E-3</v>
      </c>
      <c r="T31" s="37">
        <f t="shared" si="2"/>
        <v>5</v>
      </c>
      <c r="U31" s="40">
        <f t="shared" si="3"/>
        <v>6.4000000000000001E-2</v>
      </c>
      <c r="V31" s="39">
        <f t="shared" si="4"/>
        <v>1</v>
      </c>
      <c r="W31" s="37">
        <f t="shared" si="5"/>
        <v>0.14532721699667961</v>
      </c>
      <c r="X31" s="40">
        <f t="shared" si="6"/>
        <v>8.8077101210108839E-4</v>
      </c>
      <c r="Y31" s="39">
        <f t="shared" si="7"/>
        <v>0.72663608498339816</v>
      </c>
      <c r="Z31" s="37">
        <f t="shared" si="28"/>
        <v>0.72663608498339816</v>
      </c>
      <c r="AA31" s="37">
        <f t="shared" si="29"/>
        <v>0.16041385815927942</v>
      </c>
      <c r="AB31" s="37">
        <v>0</v>
      </c>
      <c r="AC31" s="37">
        <f t="shared" si="8"/>
        <v>9.006412061340896E-4</v>
      </c>
      <c r="AD31" s="40">
        <f t="shared" si="19"/>
        <v>9.006412061340896E-4</v>
      </c>
      <c r="AE31" s="39">
        <f t="shared" si="27"/>
        <v>9.3009418877874946E-3</v>
      </c>
      <c r="AF31" s="37">
        <f t="shared" si="20"/>
        <v>0.15992995401554902</v>
      </c>
      <c r="AG31" s="37">
        <f t="shared" si="9"/>
        <v>2.9925780523956278E-4</v>
      </c>
      <c r="AH31" s="37">
        <f t="shared" si="10"/>
        <v>8.9625104907984244E-3</v>
      </c>
      <c r="AI31" s="40">
        <f t="shared" si="21"/>
        <v>9.2617682960379876E-3</v>
      </c>
      <c r="AJ31" s="39">
        <f t="shared" si="22"/>
        <v>5.6369344774469657E-5</v>
      </c>
      <c r="AK31" s="37">
        <f t="shared" si="11"/>
        <v>1.2450530034090582E-2</v>
      </c>
      <c r="AL31" s="37">
        <f t="shared" si="12"/>
        <v>1.2800000000000001E-3</v>
      </c>
      <c r="AM31" s="37">
        <f t="shared" si="13"/>
        <v>0.85400000000000009</v>
      </c>
      <c r="AN31" s="40">
        <f t="shared" si="23"/>
        <v>0.85528000000000004</v>
      </c>
      <c r="AO31" s="39">
        <f t="shared" si="14"/>
        <v>1.2021467389965344E-3</v>
      </c>
      <c r="AP31" s="37">
        <f t="shared" si="15"/>
        <v>2.1600000000000001E-2</v>
      </c>
      <c r="AQ31" s="40">
        <f t="shared" si="16"/>
        <v>2.2499999999999998E-3</v>
      </c>
      <c r="AR31" s="39">
        <f t="shared" si="24"/>
        <v>0.89049455624116858</v>
      </c>
      <c r="AS31" s="37">
        <f t="shared" si="25"/>
        <v>0.27200000000000002</v>
      </c>
      <c r="AT31" s="40">
        <f t="shared" si="26"/>
        <v>23.397959030405257</v>
      </c>
    </row>
    <row r="32" spans="17:46" x14ac:dyDescent="0.2">
      <c r="Q32">
        <v>25</v>
      </c>
      <c r="R32" s="39">
        <f t="shared" si="0"/>
        <v>170</v>
      </c>
      <c r="S32" s="37">
        <f t="shared" si="1"/>
        <v>1.6666666666666668E-3</v>
      </c>
      <c r="T32" s="37">
        <f t="shared" si="2"/>
        <v>5</v>
      </c>
      <c r="U32" s="40">
        <f t="shared" si="3"/>
        <v>6.6666666666666666E-2</v>
      </c>
      <c r="V32" s="39">
        <f t="shared" si="4"/>
        <v>1</v>
      </c>
      <c r="W32" s="37">
        <f t="shared" si="5"/>
        <v>0.14832396974191325</v>
      </c>
      <c r="X32" s="40">
        <f t="shared" si="6"/>
        <v>8.9893314995098921E-4</v>
      </c>
      <c r="Y32" s="39">
        <f t="shared" si="7"/>
        <v>0.74161984870956632</v>
      </c>
      <c r="Z32" s="37">
        <f t="shared" si="28"/>
        <v>0.74161984870956632</v>
      </c>
      <c r="AA32" s="37">
        <f t="shared" si="29"/>
        <v>0.16540112513777461</v>
      </c>
      <c r="AB32" s="37">
        <v>0</v>
      </c>
      <c r="AC32" s="37">
        <f t="shared" si="8"/>
        <v>9.5751362688946222E-4</v>
      </c>
      <c r="AD32" s="40">
        <f t="shared" si="19"/>
        <v>9.5751362688946222E-4</v>
      </c>
      <c r="AE32" s="39">
        <f t="shared" si="27"/>
        <v>9.8882646494608834E-3</v>
      </c>
      <c r="AF32" s="37">
        <f t="shared" si="20"/>
        <v>0.16490217641382854</v>
      </c>
      <c r="AG32" s="37">
        <f t="shared" si="9"/>
        <v>3.1815491509640394E-4</v>
      </c>
      <c r="AH32" s="37">
        <f t="shared" si="10"/>
        <v>9.3359484279150282E-3</v>
      </c>
      <c r="AI32" s="40">
        <f t="shared" si="21"/>
        <v>9.6541033430114324E-3</v>
      </c>
      <c r="AJ32" s="39">
        <f t="shared" si="22"/>
        <v>5.9928876663399283E-5</v>
      </c>
      <c r="AK32" s="37">
        <f t="shared" si="11"/>
        <v>1.2837617022810272E-2</v>
      </c>
      <c r="AL32" s="37">
        <f t="shared" si="12"/>
        <v>1.3333333333333335E-3</v>
      </c>
      <c r="AM32" s="37">
        <f t="shared" si="13"/>
        <v>0.85400000000000009</v>
      </c>
      <c r="AN32" s="40">
        <f t="shared" si="23"/>
        <v>0.85533333333333339</v>
      </c>
      <c r="AO32" s="39">
        <f t="shared" si="14"/>
        <v>1.2780582059428191E-3</v>
      </c>
      <c r="AP32" s="37">
        <f t="shared" si="15"/>
        <v>2.1600000000000001E-2</v>
      </c>
      <c r="AQ32" s="40">
        <f t="shared" si="16"/>
        <v>2.2499999999999998E-3</v>
      </c>
      <c r="AR32" s="39">
        <f t="shared" si="24"/>
        <v>0.89107300850917703</v>
      </c>
      <c r="AS32" s="37">
        <f t="shared" si="25"/>
        <v>0.28333333333333333</v>
      </c>
      <c r="AT32" s="40">
        <f t="shared" si="26"/>
        <v>24.125664451778714</v>
      </c>
    </row>
    <row r="33" spans="17:46" x14ac:dyDescent="0.2">
      <c r="Q33">
        <v>26</v>
      </c>
      <c r="R33" s="39">
        <f t="shared" si="0"/>
        <v>170</v>
      </c>
      <c r="S33" s="37">
        <f t="shared" si="1"/>
        <v>1.7333333333333335E-3</v>
      </c>
      <c r="T33" s="37">
        <f t="shared" si="2"/>
        <v>5</v>
      </c>
      <c r="U33" s="40">
        <f t="shared" si="3"/>
        <v>6.9333333333333344E-2</v>
      </c>
      <c r="V33" s="39">
        <f t="shared" si="4"/>
        <v>1</v>
      </c>
      <c r="W33" s="37">
        <f t="shared" si="5"/>
        <v>0.15126136320951228</v>
      </c>
      <c r="X33" s="40">
        <f t="shared" si="6"/>
        <v>9.1673553460310474E-4</v>
      </c>
      <c r="Y33" s="39">
        <f t="shared" si="7"/>
        <v>0.75630681604756156</v>
      </c>
      <c r="Z33" s="37">
        <f t="shared" si="28"/>
        <v>0.75630681604756156</v>
      </c>
      <c r="AA33" s="37">
        <f t="shared" si="29"/>
        <v>0.17033875315738148</v>
      </c>
      <c r="AB33" s="37">
        <v>0</v>
      </c>
      <c r="AC33" s="37">
        <f t="shared" si="8"/>
        <v>1.0155351789523971E-3</v>
      </c>
      <c r="AD33" s="40">
        <f t="shared" si="19"/>
        <v>1.0155351789523971E-3</v>
      </c>
      <c r="AE33" s="39">
        <f t="shared" si="27"/>
        <v>1.048745451585952E-2</v>
      </c>
      <c r="AF33" s="37">
        <f t="shared" si="20"/>
        <v>0.16982490959401003</v>
      </c>
      <c r="AG33" s="37">
        <f t="shared" si="9"/>
        <v>3.3743384904778005E-4</v>
      </c>
      <c r="AH33" s="37">
        <f t="shared" si="10"/>
        <v>9.7093863650316303E-3</v>
      </c>
      <c r="AI33" s="40">
        <f t="shared" si="21"/>
        <v>1.004682021407941E-2</v>
      </c>
      <c r="AJ33" s="39">
        <f t="shared" si="22"/>
        <v>6.35603303991486E-5</v>
      </c>
      <c r="AK33" s="37">
        <f t="shared" si="11"/>
        <v>1.3220851281126289E-2</v>
      </c>
      <c r="AL33" s="37">
        <f t="shared" si="12"/>
        <v>1.3866666666666669E-3</v>
      </c>
      <c r="AM33" s="37">
        <f t="shared" si="13"/>
        <v>0.85400000000000009</v>
      </c>
      <c r="AN33" s="40">
        <f t="shared" si="23"/>
        <v>0.85538666666666674</v>
      </c>
      <c r="AO33" s="39">
        <f t="shared" si="14"/>
        <v>1.3555034961748431E-3</v>
      </c>
      <c r="AP33" s="37">
        <f t="shared" si="15"/>
        <v>2.1600000000000001E-2</v>
      </c>
      <c r="AQ33" s="40">
        <f t="shared" si="16"/>
        <v>2.2499999999999998E-3</v>
      </c>
      <c r="AR33" s="39">
        <f t="shared" si="24"/>
        <v>0.89165452555587332</v>
      </c>
      <c r="AS33" s="37">
        <f t="shared" si="25"/>
        <v>0.29466666666666669</v>
      </c>
      <c r="AT33" s="40">
        <f t="shared" si="26"/>
        <v>24.838691966263944</v>
      </c>
    </row>
    <row r="34" spans="17:46" x14ac:dyDescent="0.2">
      <c r="Q34">
        <v>27</v>
      </c>
      <c r="R34" s="39">
        <f t="shared" si="0"/>
        <v>170</v>
      </c>
      <c r="S34" s="37">
        <f t="shared" si="1"/>
        <v>1.8000000000000002E-3</v>
      </c>
      <c r="T34" s="37">
        <f t="shared" si="2"/>
        <v>5</v>
      </c>
      <c r="U34" s="40">
        <f t="shared" si="3"/>
        <v>7.2000000000000008E-2</v>
      </c>
      <c r="V34" s="39">
        <f t="shared" si="4"/>
        <v>1</v>
      </c>
      <c r="W34" s="37">
        <f t="shared" si="5"/>
        <v>0.15414279094398156</v>
      </c>
      <c r="X34" s="40">
        <f t="shared" si="6"/>
        <v>9.3419873299382743E-4</v>
      </c>
      <c r="Y34" s="39">
        <f t="shared" si="7"/>
        <v>0.77071395471990789</v>
      </c>
      <c r="Z34" s="37">
        <f t="shared" si="28"/>
        <v>0.77071395471990789</v>
      </c>
      <c r="AA34" s="37">
        <f t="shared" si="29"/>
        <v>0.17522911845935063</v>
      </c>
      <c r="AB34" s="37">
        <v>0</v>
      </c>
      <c r="AC34" s="37">
        <f t="shared" si="8"/>
        <v>1.0746835384614398E-3</v>
      </c>
      <c r="AD34" s="40">
        <f t="shared" si="19"/>
        <v>1.0746835384614398E-3</v>
      </c>
      <c r="AE34" s="39">
        <f t="shared" si="27"/>
        <v>1.1098280947966674E-2</v>
      </c>
      <c r="AF34" s="37">
        <f t="shared" si="20"/>
        <v>0.17470052262917921</v>
      </c>
      <c r="AG34" s="37">
        <f t="shared" si="9"/>
        <v>3.5708718950082775E-4</v>
      </c>
      <c r="AH34" s="37">
        <f t="shared" si="10"/>
        <v>1.0082824302148231E-2</v>
      </c>
      <c r="AI34" s="40">
        <f t="shared" si="21"/>
        <v>1.0439911491649058E-2</v>
      </c>
      <c r="AJ34" s="39">
        <f t="shared" si="22"/>
        <v>6.7262308775555587E-5</v>
      </c>
      <c r="AK34" s="37">
        <f t="shared" si="11"/>
        <v>1.3600417241128227E-2</v>
      </c>
      <c r="AL34" s="37">
        <f t="shared" si="12"/>
        <v>1.4400000000000003E-3</v>
      </c>
      <c r="AM34" s="37">
        <f t="shared" si="13"/>
        <v>0.85400000000000009</v>
      </c>
      <c r="AN34" s="40">
        <f t="shared" si="23"/>
        <v>0.85544000000000009</v>
      </c>
      <c r="AO34" s="39">
        <f t="shared" si="14"/>
        <v>1.4344528125246926E-3</v>
      </c>
      <c r="AP34" s="37">
        <f t="shared" si="15"/>
        <v>2.1600000000000001E-2</v>
      </c>
      <c r="AQ34" s="40">
        <f t="shared" si="16"/>
        <v>2.2499999999999998E-3</v>
      </c>
      <c r="AR34" s="39">
        <f t="shared" si="24"/>
        <v>0.89223904784263519</v>
      </c>
      <c r="AS34" s="37">
        <f t="shared" si="25"/>
        <v>0.30600000000000005</v>
      </c>
      <c r="AT34" s="40">
        <f t="shared" si="26"/>
        <v>25.537475226745158</v>
      </c>
    </row>
    <row r="35" spans="17:46" x14ac:dyDescent="0.2">
      <c r="Q35">
        <v>28</v>
      </c>
      <c r="R35" s="39">
        <f t="shared" si="0"/>
        <v>170</v>
      </c>
      <c r="S35" s="37">
        <f t="shared" si="1"/>
        <v>1.8666666666666666E-3</v>
      </c>
      <c r="T35" s="37">
        <f t="shared" si="2"/>
        <v>5</v>
      </c>
      <c r="U35" s="40">
        <f t="shared" si="3"/>
        <v>7.4666666666666673E-2</v>
      </c>
      <c r="V35" s="39">
        <f t="shared" si="4"/>
        <v>1</v>
      </c>
      <c r="W35" s="37">
        <f t="shared" si="5"/>
        <v>0.15697133496278864</v>
      </c>
      <c r="X35" s="40">
        <f t="shared" si="6"/>
        <v>9.5134142401690066E-4</v>
      </c>
      <c r="Y35" s="39">
        <f t="shared" si="7"/>
        <v>0.78485667481394328</v>
      </c>
      <c r="Z35" s="37">
        <f t="shared" si="28"/>
        <v>0.78485667481394328</v>
      </c>
      <c r="AA35" s="37">
        <f t="shared" si="29"/>
        <v>0.18007440004460398</v>
      </c>
      <c r="AB35" s="37">
        <v>0</v>
      </c>
      <c r="AC35" s="37">
        <f t="shared" si="8"/>
        <v>1.1349376342998426E-3</v>
      </c>
      <c r="AD35" s="40">
        <f t="shared" si="19"/>
        <v>1.1349376342998426E-3</v>
      </c>
      <c r="AE35" s="39">
        <f t="shared" si="27"/>
        <v>1.172052634388822E-2</v>
      </c>
      <c r="AF35" s="37">
        <f t="shared" si="20"/>
        <v>0.17953118794708789</v>
      </c>
      <c r="AG35" s="37">
        <f t="shared" si="9"/>
        <v>3.7710793511460338E-4</v>
      </c>
      <c r="AH35" s="37">
        <f t="shared" si="10"/>
        <v>1.0456262239264831E-2</v>
      </c>
      <c r="AI35" s="40">
        <f t="shared" si="21"/>
        <v>1.0833370174379435E-2</v>
      </c>
      <c r="AJ35" s="39">
        <f t="shared" si="22"/>
        <v>7.1033492993261918E-5</v>
      </c>
      <c r="AK35" s="37">
        <f t="shared" si="11"/>
        <v>1.3976484026087184E-2</v>
      </c>
      <c r="AL35" s="37">
        <f t="shared" si="12"/>
        <v>1.4933333333333335E-3</v>
      </c>
      <c r="AM35" s="37">
        <f t="shared" si="13"/>
        <v>0.85400000000000009</v>
      </c>
      <c r="AN35" s="40">
        <f t="shared" si="23"/>
        <v>0.85549333333333344</v>
      </c>
      <c r="AO35" s="39">
        <f t="shared" si="14"/>
        <v>1.5148780299475521E-3</v>
      </c>
      <c r="AP35" s="37">
        <f t="shared" si="15"/>
        <v>2.1600000000000001E-2</v>
      </c>
      <c r="AQ35" s="40">
        <f t="shared" si="16"/>
        <v>2.2499999999999998E-3</v>
      </c>
      <c r="AR35" s="39">
        <f t="shared" si="24"/>
        <v>0.89282651917196021</v>
      </c>
      <c r="AS35" s="37">
        <f t="shared" si="25"/>
        <v>0.31733333333333336</v>
      </c>
      <c r="AT35" s="40">
        <f t="shared" si="26"/>
        <v>26.222431084322</v>
      </c>
    </row>
    <row r="36" spans="17:46" x14ac:dyDescent="0.2">
      <c r="Q36">
        <v>29</v>
      </c>
      <c r="R36" s="39">
        <f t="shared" si="0"/>
        <v>170</v>
      </c>
      <c r="S36" s="37">
        <f t="shared" si="1"/>
        <v>1.9333333333333333E-3</v>
      </c>
      <c r="T36" s="37">
        <f t="shared" si="2"/>
        <v>5</v>
      </c>
      <c r="U36" s="40">
        <f t="shared" si="3"/>
        <v>7.7333333333333337E-2</v>
      </c>
      <c r="V36" s="39">
        <f t="shared" si="4"/>
        <v>1</v>
      </c>
      <c r="W36" s="37">
        <f t="shared" si="5"/>
        <v>0.15974980438172687</v>
      </c>
      <c r="X36" s="40">
        <f t="shared" si="6"/>
        <v>9.6818063261652646E-4</v>
      </c>
      <c r="Y36" s="39">
        <f t="shared" si="7"/>
        <v>0.7987490219086345</v>
      </c>
      <c r="Z36" s="37">
        <f t="shared" si="28"/>
        <v>0.7987490219086345</v>
      </c>
      <c r="AA36" s="37">
        <f t="shared" si="29"/>
        <v>0.18487660248496487</v>
      </c>
      <c r="AB36" s="37">
        <v>0</v>
      </c>
      <c r="AC36" s="37">
        <f t="shared" si="8"/>
        <v>1.1962775351234303E-3</v>
      </c>
      <c r="AD36" s="40">
        <f t="shared" si="19"/>
        <v>1.1962775351234303E-3</v>
      </c>
      <c r="AE36" s="39">
        <f t="shared" si="27"/>
        <v>1.2353984872186878E-2</v>
      </c>
      <c r="AF36" s="37">
        <f t="shared" si="20"/>
        <v>0.18431890407257182</v>
      </c>
      <c r="AG36" s="37">
        <f t="shared" si="9"/>
        <v>3.9748946326261295E-4</v>
      </c>
      <c r="AH36" s="37">
        <f t="shared" si="10"/>
        <v>1.0829700176381431E-2</v>
      </c>
      <c r="AI36" s="40">
        <f t="shared" si="21"/>
        <v>1.1227189639644045E-2</v>
      </c>
      <c r="AJ36" s="39">
        <f t="shared" si="22"/>
        <v>7.4872635589011378E-5</v>
      </c>
      <c r="AK36" s="37">
        <f t="shared" si="11"/>
        <v>1.434920722095062E-2</v>
      </c>
      <c r="AL36" s="37">
        <f t="shared" si="12"/>
        <v>1.5466666666666667E-3</v>
      </c>
      <c r="AM36" s="37">
        <f t="shared" si="13"/>
        <v>0.85400000000000009</v>
      </c>
      <c r="AN36" s="40">
        <f t="shared" si="23"/>
        <v>0.85554666666666679</v>
      </c>
      <c r="AO36" s="39">
        <f t="shared" si="14"/>
        <v>1.5967525447301545E-3</v>
      </c>
      <c r="AP36" s="37">
        <f t="shared" si="15"/>
        <v>2.1600000000000001E-2</v>
      </c>
      <c r="AQ36" s="40">
        <f t="shared" si="16"/>
        <v>2.2499999999999998E-3</v>
      </c>
      <c r="AR36" s="39">
        <f t="shared" si="24"/>
        <v>0.89341688638616434</v>
      </c>
      <c r="AS36" s="37">
        <f t="shared" si="25"/>
        <v>0.32866666666666666</v>
      </c>
      <c r="AT36" s="40">
        <f t="shared" si="26"/>
        <v>26.893960388030706</v>
      </c>
    </row>
    <row r="37" spans="17:46" x14ac:dyDescent="0.2">
      <c r="Q37">
        <v>30</v>
      </c>
      <c r="R37" s="39">
        <f t="shared" si="0"/>
        <v>170</v>
      </c>
      <c r="S37" s="37">
        <f t="shared" si="1"/>
        <v>2E-3</v>
      </c>
      <c r="T37" s="37">
        <f t="shared" si="2"/>
        <v>5</v>
      </c>
      <c r="U37" s="40">
        <f t="shared" si="3"/>
        <v>0.08</v>
      </c>
      <c r="V37" s="39">
        <f t="shared" si="4"/>
        <v>1</v>
      </c>
      <c r="W37" s="37">
        <f t="shared" si="5"/>
        <v>0.16248076809271919</v>
      </c>
      <c r="X37" s="40">
        <f t="shared" si="6"/>
        <v>9.8473192783466151E-4</v>
      </c>
      <c r="Y37" s="39">
        <f t="shared" si="7"/>
        <v>0.81240384046359604</v>
      </c>
      <c r="Z37" s="37">
        <f t="shared" si="28"/>
        <v>0.81240384046359604</v>
      </c>
      <c r="AA37" s="37">
        <f t="shared" si="29"/>
        <v>0.1896375754024551</v>
      </c>
      <c r="AB37" s="37">
        <v>0</v>
      </c>
      <c r="AC37" s="37">
        <f t="shared" si="8"/>
        <v>1.2586843501582645E-3</v>
      </c>
      <c r="AD37" s="40">
        <f t="shared" si="19"/>
        <v>1.2586843501582645E-3</v>
      </c>
      <c r="AE37" s="39">
        <f t="shared" si="27"/>
        <v>1.2998461447417536E-2</v>
      </c>
      <c r="AF37" s="37">
        <f t="shared" si="20"/>
        <v>0.1890655150480865</v>
      </c>
      <c r="AG37" s="37">
        <f t="shared" si="9"/>
        <v>4.1822549707065914E-4</v>
      </c>
      <c r="AH37" s="37">
        <f t="shared" si="10"/>
        <v>1.1203138113498032E-2</v>
      </c>
      <c r="AI37" s="40">
        <f t="shared" si="21"/>
        <v>1.162136361056869E-2</v>
      </c>
      <c r="AJ37" s="39">
        <f t="shared" si="22"/>
        <v>7.8778554226772925E-5</v>
      </c>
      <c r="AK37" s="37">
        <f t="shared" si="11"/>
        <v>1.4718730384228985E-2</v>
      </c>
      <c r="AL37" s="37">
        <f t="shared" si="12"/>
        <v>1.6000000000000001E-3</v>
      </c>
      <c r="AM37" s="37">
        <f t="shared" si="13"/>
        <v>0.85400000000000009</v>
      </c>
      <c r="AN37" s="40">
        <f t="shared" si="23"/>
        <v>0.85560000000000014</v>
      </c>
      <c r="AO37" s="39">
        <f t="shared" si="14"/>
        <v>1.6800511420787163E-3</v>
      </c>
      <c r="AP37" s="37">
        <f t="shared" si="15"/>
        <v>2.1600000000000001E-2</v>
      </c>
      <c r="AQ37" s="40">
        <f t="shared" si="16"/>
        <v>2.2499999999999998E-3</v>
      </c>
      <c r="AR37" s="39">
        <f t="shared" si="24"/>
        <v>0.89401009910280571</v>
      </c>
      <c r="AS37" s="37">
        <f t="shared" si="25"/>
        <v>0.34</v>
      </c>
      <c r="AT37" s="40">
        <f t="shared" si="26"/>
        <v>27.552448739860314</v>
      </c>
    </row>
    <row r="38" spans="17:46" x14ac:dyDescent="0.2">
      <c r="Q38">
        <v>31</v>
      </c>
      <c r="R38" s="39">
        <f t="shared" si="0"/>
        <v>170</v>
      </c>
      <c r="S38" s="37">
        <f t="shared" si="1"/>
        <v>2.0666666666666667E-3</v>
      </c>
      <c r="T38" s="37">
        <f t="shared" si="2"/>
        <v>5</v>
      </c>
      <c r="U38" s="40">
        <f t="shared" si="3"/>
        <v>8.2666666666666666E-2</v>
      </c>
      <c r="V38" s="39">
        <f t="shared" si="4"/>
        <v>1</v>
      </c>
      <c r="W38" s="37">
        <f t="shared" si="5"/>
        <v>0.16516658257650063</v>
      </c>
      <c r="X38" s="40">
        <f t="shared" si="6"/>
        <v>1.0010095913727309E-3</v>
      </c>
      <c r="Y38" s="39">
        <f t="shared" si="7"/>
        <v>0.82583291288250327</v>
      </c>
      <c r="Z38" s="37">
        <f t="shared" si="28"/>
        <v>0.82583291288250327</v>
      </c>
      <c r="AA38" s="37">
        <f t="shared" si="29"/>
        <v>0.19435903019797293</v>
      </c>
      <c r="AB38" s="37">
        <v>0</v>
      </c>
      <c r="AC38" s="37">
        <f t="shared" si="8"/>
        <v>1.3221401416823797E-3</v>
      </c>
      <c r="AD38" s="40">
        <f t="shared" si="19"/>
        <v>1.3221401416823797E-3</v>
      </c>
      <c r="AE38" s="39">
        <f t="shared" si="27"/>
        <v>1.3653770826324052E-2</v>
      </c>
      <c r="AF38" s="37">
        <f t="shared" si="20"/>
        <v>0.19377272711192139</v>
      </c>
      <c r="AG38" s="37">
        <f t="shared" si="9"/>
        <v>4.3931007633697656E-4</v>
      </c>
      <c r="AH38" s="37">
        <f t="shared" si="10"/>
        <v>1.1576576050614632E-2</v>
      </c>
      <c r="AI38" s="40">
        <f t="shared" si="21"/>
        <v>1.2015886126951609E-2</v>
      </c>
      <c r="AJ38" s="39">
        <f t="shared" si="22"/>
        <v>8.275012622014575E-5</v>
      </c>
      <c r="AK38" s="37">
        <f t="shared" si="11"/>
        <v>1.508518634639297E-2</v>
      </c>
      <c r="AL38" s="37">
        <f t="shared" si="12"/>
        <v>1.6533333333333335E-3</v>
      </c>
      <c r="AM38" s="37">
        <f t="shared" si="13"/>
        <v>0.85400000000000009</v>
      </c>
      <c r="AN38" s="40">
        <f t="shared" si="23"/>
        <v>0.85565333333333338</v>
      </c>
      <c r="AO38" s="39">
        <f t="shared" si="14"/>
        <v>1.7647498793023843E-3</v>
      </c>
      <c r="AP38" s="37">
        <f t="shared" si="15"/>
        <v>2.1600000000000001E-2</v>
      </c>
      <c r="AQ38" s="40">
        <f t="shared" si="16"/>
        <v>2.2499999999999998E-3</v>
      </c>
      <c r="AR38" s="39">
        <f t="shared" si="24"/>
        <v>0.89460610948126973</v>
      </c>
      <c r="AS38" s="37">
        <f t="shared" si="25"/>
        <v>0.35133333333333333</v>
      </c>
      <c r="AT38" s="40">
        <f t="shared" si="26"/>
        <v>28.198267207888051</v>
      </c>
    </row>
    <row r="39" spans="17:46" x14ac:dyDescent="0.2">
      <c r="Q39">
        <v>32</v>
      </c>
      <c r="R39" s="39">
        <f t="shared" si="0"/>
        <v>170</v>
      </c>
      <c r="S39" s="37">
        <f t="shared" ref="S39:S70" si="30">Q39*$O$12</f>
        <v>2.1333333333333334E-3</v>
      </c>
      <c r="T39" s="37">
        <f t="shared" si="2"/>
        <v>5</v>
      </c>
      <c r="U39" s="40">
        <f t="shared" ref="U39:U70" si="31">(R39*S39)/(T39*EFF_est)</f>
        <v>8.5333333333333344E-2</v>
      </c>
      <c r="V39" s="39">
        <f t="shared" ref="V39:V70" si="32">IF((S39*R39/T39)&lt;((T39*(1-(T39/R39)))/(2*Lm*Fsw)),1,2)</f>
        <v>1</v>
      </c>
      <c r="W39" s="37">
        <f t="shared" ref="W39:W70" si="33">CHOOSE(V39,SQRT((2*S39*Lm*Fsw*(R39-T39))/((T39)^2)),1-(T39/R39))</f>
        <v>0.16780941570722427</v>
      </c>
      <c r="X39" s="40">
        <f t="shared" ref="X39:X70" si="34">CHOOSE(V39,(Lm*W39*Fsw)/(R39-T39),1-W39)</f>
        <v>1.0170267618619651E-3</v>
      </c>
      <c r="Y39" s="39">
        <f t="shared" ref="Y39:Y70" si="35">(T39*W39)/(Lm*Fsw)</f>
        <v>0.83904707853612148</v>
      </c>
      <c r="Z39" s="37">
        <f t="shared" si="28"/>
        <v>0.83904707853612148</v>
      </c>
      <c r="AA39" s="37">
        <f t="shared" si="29"/>
        <v>0.19904255449378724</v>
      </c>
      <c r="AB39" s="37">
        <v>0</v>
      </c>
      <c r="AC39" s="37">
        <f t="shared" ref="AC39:AC70" si="36">(AA39^2)*Rdcr</f>
        <v>1.3866278474794294E-3</v>
      </c>
      <c r="AD39" s="40">
        <f t="shared" si="19"/>
        <v>1.3866278474794294E-3</v>
      </c>
      <c r="AE39" s="39">
        <f t="shared" si="27"/>
        <v>1.4319736807016472E-2</v>
      </c>
      <c r="AF39" s="37">
        <f t="shared" si="20"/>
        <v>0.19844212309712703</v>
      </c>
      <c r="AG39" s="37">
        <f t="shared" ref="AG39:AG70" si="37">(AF39^2)*RDS_on</f>
        <v>4.607375317657552E-4</v>
      </c>
      <c r="AH39" s="37">
        <f t="shared" ref="AH39:AH70" si="38">((R39*U39)/2)*Fsw*(tr_sw+tf_sw)</f>
        <v>1.1950013987731234E-2</v>
      </c>
      <c r="AI39" s="40">
        <f t="shared" si="21"/>
        <v>1.241075151949699E-2</v>
      </c>
      <c r="AJ39" s="39">
        <f t="shared" si="22"/>
        <v>8.6786283678887705E-5</v>
      </c>
      <c r="AK39" s="37">
        <f t="shared" ref="AK39:AK70" si="39">CHOOSE(V39,Z39*SQRT(X39/3),SQRT(X39*((Z39^2)+((Y39^2)/3)-(Y39*Z39))))</f>
        <v>1.5448698330828436E-2</v>
      </c>
      <c r="AL39" s="37">
        <f t="shared" ref="AL39:AL70" si="40">S39*Vd_rect</f>
        <v>1.7066666666666669E-3</v>
      </c>
      <c r="AM39" s="37">
        <f t="shared" ref="AM39:AM70" si="41">CHOOSE(V39,(R39+Vd_rect)*Qrr*Fsw,(R39+Vd_rect)*Qrr*Fsw)</f>
        <v>0.85400000000000009</v>
      </c>
      <c r="AN39" s="40">
        <f t="shared" si="23"/>
        <v>0.85570666666666673</v>
      </c>
      <c r="AO39" s="39">
        <f t="shared" ref="AO39:AO70" si="42">(AF39^2)*R_cs</f>
        <v>1.8508259823068799E-3</v>
      </c>
      <c r="AP39" s="37">
        <f t="shared" ref="AP39:AP70" si="43">Qg_tot*Vcc*Fsw</f>
        <v>2.1600000000000001E-2</v>
      </c>
      <c r="AQ39" s="40">
        <f t="shared" ref="AQ39:AQ70" si="44">IQ*T39</f>
        <v>2.2499999999999998E-3</v>
      </c>
      <c r="AR39" s="39">
        <f t="shared" si="24"/>
        <v>0.89520487201595</v>
      </c>
      <c r="AS39" s="37">
        <f t="shared" si="25"/>
        <v>0.36266666666666669</v>
      </c>
      <c r="AT39" s="40">
        <f t="shared" si="26"/>
        <v>28.831773000165949</v>
      </c>
    </row>
    <row r="40" spans="17:46" x14ac:dyDescent="0.2">
      <c r="Q40">
        <v>33</v>
      </c>
      <c r="R40" s="39">
        <f t="shared" si="0"/>
        <v>170</v>
      </c>
      <c r="S40" s="37">
        <f t="shared" si="30"/>
        <v>2.2000000000000001E-3</v>
      </c>
      <c r="T40" s="37">
        <f t="shared" si="2"/>
        <v>5</v>
      </c>
      <c r="U40" s="40">
        <f t="shared" si="31"/>
        <v>8.7999999999999995E-2</v>
      </c>
      <c r="V40" s="39">
        <f t="shared" si="32"/>
        <v>1</v>
      </c>
      <c r="W40" s="37">
        <f t="shared" si="33"/>
        <v>0.17041126723312633</v>
      </c>
      <c r="X40" s="40">
        <f t="shared" si="34"/>
        <v>1.0327955589886442E-3</v>
      </c>
      <c r="Y40" s="39">
        <f t="shared" si="35"/>
        <v>0.85205633616563181</v>
      </c>
      <c r="Z40" s="37">
        <f t="shared" si="28"/>
        <v>0.85205633616563181</v>
      </c>
      <c r="AA40" s="37">
        <f t="shared" si="29"/>
        <v>0.2036896246638297</v>
      </c>
      <c r="AB40" s="37">
        <v>0</v>
      </c>
      <c r="AC40" s="37">
        <f t="shared" si="36"/>
        <v>1.4521312118492139E-3</v>
      </c>
      <c r="AD40" s="40">
        <f t="shared" si="19"/>
        <v>1.4521312118492139E-3</v>
      </c>
      <c r="AE40" s="39">
        <f t="shared" si="27"/>
        <v>1.4996191516515116E-2</v>
      </c>
      <c r="AF40" s="37">
        <f t="shared" si="20"/>
        <v>0.20307517492400831</v>
      </c>
      <c r="AG40" s="37">
        <f t="shared" si="37"/>
        <v>4.8250246204387391E-4</v>
      </c>
      <c r="AH40" s="37">
        <f t="shared" si="38"/>
        <v>1.2323451924847835E-2</v>
      </c>
      <c r="AI40" s="40">
        <f t="shared" si="21"/>
        <v>1.2805954386891709E-2</v>
      </c>
      <c r="AJ40" s="39">
        <f t="shared" si="22"/>
        <v>9.0886009191000686E-5</v>
      </c>
      <c r="AK40" s="37">
        <f t="shared" si="39"/>
        <v>1.5809380926375703E-2</v>
      </c>
      <c r="AL40" s="37">
        <f t="shared" si="40"/>
        <v>1.7600000000000003E-3</v>
      </c>
      <c r="AM40" s="37">
        <f t="shared" si="41"/>
        <v>0.85400000000000009</v>
      </c>
      <c r="AN40" s="40">
        <f t="shared" si="23"/>
        <v>0.85576000000000008</v>
      </c>
      <c r="AO40" s="39">
        <f t="shared" si="42"/>
        <v>1.938257753509579E-3</v>
      </c>
      <c r="AP40" s="37">
        <f t="shared" si="43"/>
        <v>2.1600000000000001E-2</v>
      </c>
      <c r="AQ40" s="40">
        <f t="shared" si="44"/>
        <v>2.2499999999999998E-3</v>
      </c>
      <c r="AR40" s="39">
        <f t="shared" si="24"/>
        <v>0.8958063433522504</v>
      </c>
      <c r="AS40" s="37">
        <f t="shared" si="25"/>
        <v>0.374</v>
      </c>
      <c r="AT40" s="40">
        <f t="shared" si="26"/>
        <v>29.453310101810587</v>
      </c>
    </row>
    <row r="41" spans="17:46" x14ac:dyDescent="0.2">
      <c r="Q41">
        <v>34</v>
      </c>
      <c r="R41" s="39">
        <f t="shared" si="0"/>
        <v>170</v>
      </c>
      <c r="S41" s="37">
        <f t="shared" si="30"/>
        <v>2.2666666666666668E-3</v>
      </c>
      <c r="T41" s="37">
        <f t="shared" si="2"/>
        <v>5</v>
      </c>
      <c r="U41" s="40">
        <f t="shared" si="31"/>
        <v>9.0666666666666673E-2</v>
      </c>
      <c r="V41" s="39">
        <f t="shared" si="32"/>
        <v>1</v>
      </c>
      <c r="W41" s="37">
        <f t="shared" si="33"/>
        <v>0.17297398648351722</v>
      </c>
      <c r="X41" s="40">
        <f t="shared" si="34"/>
        <v>1.0483271908091952E-3</v>
      </c>
      <c r="Y41" s="39">
        <f t="shared" si="35"/>
        <v>0.86486993241758625</v>
      </c>
      <c r="Z41" s="37">
        <f t="shared" si="28"/>
        <v>0.86486993241758625</v>
      </c>
      <c r="AA41" s="37">
        <f t="shared" si="29"/>
        <v>0.20830161675512443</v>
      </c>
      <c r="AB41" s="37">
        <v>0</v>
      </c>
      <c r="AC41" s="37">
        <f t="shared" si="36"/>
        <v>1.5186347239979558E-3</v>
      </c>
      <c r="AD41" s="40">
        <f t="shared" si="19"/>
        <v>1.5186347239979558E-3</v>
      </c>
      <c r="AE41" s="39">
        <f t="shared" si="27"/>
        <v>1.5682974774505563E-2</v>
      </c>
      <c r="AF41" s="37">
        <f t="shared" si="20"/>
        <v>0.20767325448860841</v>
      </c>
      <c r="AG41" s="37">
        <f t="shared" si="37"/>
        <v>5.045997133697166E-4</v>
      </c>
      <c r="AH41" s="37">
        <f t="shared" si="38"/>
        <v>1.2696889861964437E-2</v>
      </c>
      <c r="AI41" s="40">
        <f t="shared" si="21"/>
        <v>1.3201489575334154E-2</v>
      </c>
      <c r="AJ41" s="39">
        <f t="shared" si="22"/>
        <v>9.5048331966700374E-5</v>
      </c>
      <c r="AK41" s="37">
        <f t="shared" si="39"/>
        <v>1.6167340934996888E-2</v>
      </c>
      <c r="AL41" s="37">
        <f t="shared" si="40"/>
        <v>1.8133333333333335E-3</v>
      </c>
      <c r="AM41" s="37">
        <f t="shared" si="41"/>
        <v>0.85400000000000009</v>
      </c>
      <c r="AN41" s="40">
        <f t="shared" si="23"/>
        <v>0.85581333333333343</v>
      </c>
      <c r="AO41" s="39">
        <f t="shared" si="42"/>
        <v>2.0270244896048446E-3</v>
      </c>
      <c r="AP41" s="37">
        <f t="shared" si="43"/>
        <v>2.1600000000000001E-2</v>
      </c>
      <c r="AQ41" s="40">
        <f t="shared" si="44"/>
        <v>2.2499999999999998E-3</v>
      </c>
      <c r="AR41" s="39">
        <f t="shared" si="24"/>
        <v>0.89641048212227026</v>
      </c>
      <c r="AS41" s="37">
        <f t="shared" si="25"/>
        <v>0.38533333333333336</v>
      </c>
      <c r="AT41" s="40">
        <f t="shared" si="26"/>
        <v>30.063209877581059</v>
      </c>
    </row>
    <row r="42" spans="17:46" x14ac:dyDescent="0.2">
      <c r="Q42">
        <v>35</v>
      </c>
      <c r="R42" s="39">
        <f t="shared" si="0"/>
        <v>170</v>
      </c>
      <c r="S42" s="37">
        <f t="shared" si="30"/>
        <v>2.3333333333333335E-3</v>
      </c>
      <c r="T42" s="37">
        <f t="shared" si="2"/>
        <v>5</v>
      </c>
      <c r="U42" s="40">
        <f t="shared" si="31"/>
        <v>9.3333333333333351E-2</v>
      </c>
      <c r="V42" s="39">
        <f t="shared" si="32"/>
        <v>1</v>
      </c>
      <c r="W42" s="37">
        <f t="shared" si="33"/>
        <v>0.17549928774784243</v>
      </c>
      <c r="X42" s="40">
        <f t="shared" si="34"/>
        <v>1.0636320469566206E-3</v>
      </c>
      <c r="Y42" s="39">
        <f t="shared" si="35"/>
        <v>0.87749643873921224</v>
      </c>
      <c r="Z42" s="37">
        <f t="shared" si="28"/>
        <v>0.87749643873921224</v>
      </c>
      <c r="AA42" s="37">
        <f t="shared" si="29"/>
        <v>0.21287981604808168</v>
      </c>
      <c r="AB42" s="37">
        <v>0</v>
      </c>
      <c r="AC42" s="37">
        <f t="shared" si="36"/>
        <v>1.5861235628232785E-3</v>
      </c>
      <c r="AD42" s="40">
        <f t="shared" si="19"/>
        <v>1.5861235628232785E-3</v>
      </c>
      <c r="AE42" s="39">
        <f t="shared" si="27"/>
        <v>1.6379933523131964E-2</v>
      </c>
      <c r="AF42" s="37">
        <f t="shared" si="20"/>
        <v>0.21223764319416311</v>
      </c>
      <c r="AG42" s="37">
        <f t="shared" si="37"/>
        <v>5.2702436110677086E-4</v>
      </c>
      <c r="AH42" s="37">
        <f t="shared" si="38"/>
        <v>1.3070327799081039E-2</v>
      </c>
      <c r="AI42" s="40">
        <f t="shared" si="21"/>
        <v>1.3597352160187809E-2</v>
      </c>
      <c r="AJ42" s="39">
        <f t="shared" si="22"/>
        <v>9.9272324382617942E-5</v>
      </c>
      <c r="AK42" s="37">
        <f t="shared" si="39"/>
        <v>1.6522678113798601E-2</v>
      </c>
      <c r="AL42" s="37">
        <f t="shared" si="40"/>
        <v>1.8666666666666669E-3</v>
      </c>
      <c r="AM42" s="37">
        <f t="shared" si="41"/>
        <v>0.85400000000000009</v>
      </c>
      <c r="AN42" s="40">
        <f t="shared" si="23"/>
        <v>0.85586666666666678</v>
      </c>
      <c r="AO42" s="39">
        <f t="shared" si="42"/>
        <v>2.1171064078648058E-3</v>
      </c>
      <c r="AP42" s="37">
        <f t="shared" si="43"/>
        <v>2.1600000000000001E-2</v>
      </c>
      <c r="AQ42" s="40">
        <f t="shared" si="44"/>
        <v>2.2499999999999998E-3</v>
      </c>
      <c r="AR42" s="39">
        <f t="shared" si="24"/>
        <v>0.89701724879754252</v>
      </c>
      <c r="AS42" s="37">
        <f t="shared" si="25"/>
        <v>0.39666666666666672</v>
      </c>
      <c r="AT42" s="40">
        <f t="shared" si="26"/>
        <v>30.661791642074476</v>
      </c>
    </row>
    <row r="43" spans="17:46" x14ac:dyDescent="0.2">
      <c r="Q43">
        <v>36</v>
      </c>
      <c r="R43" s="39">
        <f t="shared" si="0"/>
        <v>170</v>
      </c>
      <c r="S43" s="37">
        <f t="shared" si="30"/>
        <v>2.4000000000000002E-3</v>
      </c>
      <c r="T43" s="37">
        <f t="shared" si="2"/>
        <v>5</v>
      </c>
      <c r="U43" s="40">
        <f t="shared" si="31"/>
        <v>9.6000000000000002E-2</v>
      </c>
      <c r="V43" s="39">
        <f t="shared" si="32"/>
        <v>1</v>
      </c>
      <c r="W43" s="37">
        <f t="shared" si="33"/>
        <v>0.1779887636902959</v>
      </c>
      <c r="X43" s="40">
        <f t="shared" si="34"/>
        <v>1.0787197799411873E-3</v>
      </c>
      <c r="Y43" s="39">
        <f t="shared" si="35"/>
        <v>0.88994381845147963</v>
      </c>
      <c r="Z43" s="37">
        <f t="shared" si="28"/>
        <v>0.88994381845147963</v>
      </c>
      <c r="AA43" s="37">
        <f t="shared" si="29"/>
        <v>0.21742542545926546</v>
      </c>
      <c r="AB43" s="37">
        <v>0</v>
      </c>
      <c r="AC43" s="37">
        <f t="shared" si="36"/>
        <v>1.6545835472649912E-3</v>
      </c>
      <c r="AD43" s="40">
        <f t="shared" si="19"/>
        <v>1.6545835472649912E-3</v>
      </c>
      <c r="AE43" s="39">
        <f t="shared" si="27"/>
        <v>1.7086921314268408E-2</v>
      </c>
      <c r="AF43" s="37">
        <f t="shared" si="20"/>
        <v>0.21676954032852061</v>
      </c>
      <c r="AG43" s="37">
        <f t="shared" si="37"/>
        <v>5.4977169328658613E-4</v>
      </c>
      <c r="AH43" s="37">
        <f t="shared" si="38"/>
        <v>1.3443765736197637E-2</v>
      </c>
      <c r="AI43" s="40">
        <f t="shared" si="21"/>
        <v>1.3993537429484223E-2</v>
      </c>
      <c r="AJ43" s="39">
        <f t="shared" si="22"/>
        <v>1.0355709887435397E-4</v>
      </c>
      <c r="AK43" s="37">
        <f t="shared" si="39"/>
        <v>1.6875485827213196E-2</v>
      </c>
      <c r="AL43" s="37">
        <f t="shared" si="40"/>
        <v>1.9200000000000003E-3</v>
      </c>
      <c r="AM43" s="37">
        <f t="shared" si="41"/>
        <v>0.85400000000000009</v>
      </c>
      <c r="AN43" s="40">
        <f t="shared" si="23"/>
        <v>0.85592000000000013</v>
      </c>
      <c r="AO43" s="39">
        <f t="shared" si="42"/>
        <v>2.2084845798691919E-3</v>
      </c>
      <c r="AP43" s="37">
        <f t="shared" si="43"/>
        <v>2.1600000000000001E-2</v>
      </c>
      <c r="AQ43" s="40">
        <f t="shared" si="44"/>
        <v>2.2499999999999998E-3</v>
      </c>
      <c r="AR43" s="39">
        <f t="shared" si="24"/>
        <v>0.89762660555661844</v>
      </c>
      <c r="AS43" s="37">
        <f t="shared" si="25"/>
        <v>0.40800000000000003</v>
      </c>
      <c r="AT43" s="40">
        <f t="shared" si="26"/>
        <v>31.249363199523678</v>
      </c>
    </row>
    <row r="44" spans="17:46" x14ac:dyDescent="0.2">
      <c r="Q44">
        <v>37</v>
      </c>
      <c r="R44" s="39">
        <f t="shared" si="0"/>
        <v>170</v>
      </c>
      <c r="S44" s="37">
        <f t="shared" si="30"/>
        <v>2.4666666666666669E-3</v>
      </c>
      <c r="T44" s="37">
        <f t="shared" si="2"/>
        <v>5</v>
      </c>
      <c r="U44" s="40">
        <f t="shared" si="31"/>
        <v>9.866666666666668E-2</v>
      </c>
      <c r="V44" s="39">
        <f t="shared" si="32"/>
        <v>1</v>
      </c>
      <c r="W44" s="37">
        <f t="shared" si="33"/>
        <v>0.18044389709823938</v>
      </c>
      <c r="X44" s="40">
        <f t="shared" si="34"/>
        <v>1.0935993763529657E-3</v>
      </c>
      <c r="Y44" s="39">
        <f t="shared" si="35"/>
        <v>0.90221948549119702</v>
      </c>
      <c r="Z44" s="37">
        <f t="shared" si="28"/>
        <v>0.90221948549119702</v>
      </c>
      <c r="AA44" s="37">
        <f t="shared" si="29"/>
        <v>0.22193957295498115</v>
      </c>
      <c r="AB44" s="37">
        <v>0</v>
      </c>
      <c r="AC44" s="37">
        <f t="shared" si="36"/>
        <v>1.7240010915203791E-3</v>
      </c>
      <c r="AD44" s="40">
        <f t="shared" si="19"/>
        <v>1.7240010915203791E-3</v>
      </c>
      <c r="AE44" s="39">
        <f t="shared" si="27"/>
        <v>1.7803797847026289E-2</v>
      </c>
      <c r="AF44" s="37">
        <f t="shared" si="20"/>
        <v>0.22127007045536526</v>
      </c>
      <c r="AG44" s="37">
        <f t="shared" si="37"/>
        <v>5.7283719572807099E-4</v>
      </c>
      <c r="AH44" s="37">
        <f t="shared" si="38"/>
        <v>1.3817203673314241E-2</v>
      </c>
      <c r="AI44" s="40">
        <f t="shared" si="21"/>
        <v>1.4390040869042312E-2</v>
      </c>
      <c r="AJ44" s="39">
        <f t="shared" si="22"/>
        <v>1.0790180513349263E-4</v>
      </c>
      <c r="AK44" s="37">
        <f t="shared" si="39"/>
        <v>1.7225851622404764E-2</v>
      </c>
      <c r="AL44" s="37">
        <f t="shared" si="40"/>
        <v>1.9733333333333334E-3</v>
      </c>
      <c r="AM44" s="37">
        <f t="shared" si="41"/>
        <v>0.85400000000000009</v>
      </c>
      <c r="AN44" s="40">
        <f t="shared" si="23"/>
        <v>0.85597333333333347</v>
      </c>
      <c r="AO44" s="39">
        <f t="shared" si="42"/>
        <v>2.3011408717281481E-3</v>
      </c>
      <c r="AP44" s="37">
        <f t="shared" si="43"/>
        <v>2.1600000000000001E-2</v>
      </c>
      <c r="AQ44" s="40">
        <f t="shared" si="44"/>
        <v>2.2499999999999998E-3</v>
      </c>
      <c r="AR44" s="39">
        <f t="shared" si="24"/>
        <v>0.89823851616562422</v>
      </c>
      <c r="AS44" s="37">
        <f t="shared" si="25"/>
        <v>0.41933333333333339</v>
      </c>
      <c r="AT44" s="40">
        <f t="shared" si="26"/>
        <v>31.82622135504764</v>
      </c>
    </row>
    <row r="45" spans="17:46" x14ac:dyDescent="0.2">
      <c r="Q45">
        <v>38</v>
      </c>
      <c r="R45" s="39">
        <f t="shared" si="0"/>
        <v>170</v>
      </c>
      <c r="S45" s="37">
        <f t="shared" si="30"/>
        <v>2.5333333333333336E-3</v>
      </c>
      <c r="T45" s="37">
        <f t="shared" si="2"/>
        <v>5</v>
      </c>
      <c r="U45" s="40">
        <f t="shared" si="31"/>
        <v>0.10133333333333334</v>
      </c>
      <c r="V45" s="39">
        <f t="shared" si="32"/>
        <v>1</v>
      </c>
      <c r="W45" s="37">
        <f t="shared" si="33"/>
        <v>0.18286607121059939</v>
      </c>
      <c r="X45" s="40">
        <f t="shared" si="34"/>
        <v>1.1082792194581782E-3</v>
      </c>
      <c r="Y45" s="39">
        <f t="shared" si="35"/>
        <v>0.91433035605299706</v>
      </c>
      <c r="Z45" s="37">
        <f t="shared" si="28"/>
        <v>0.91433035605299706</v>
      </c>
      <c r="AA45" s="37">
        <f t="shared" si="29"/>
        <v>0.2264233181156689</v>
      </c>
      <c r="AB45" s="37">
        <v>0</v>
      </c>
      <c r="AC45" s="37">
        <f t="shared" si="36"/>
        <v>1.7943631645278291E-3</v>
      </c>
      <c r="AD45" s="40">
        <f t="shared" si="19"/>
        <v>1.7943631645278291E-3</v>
      </c>
      <c r="AE45" s="39">
        <f t="shared" si="27"/>
        <v>1.8530428549340741E-2</v>
      </c>
      <c r="AF45" s="37">
        <f t="shared" si="20"/>
        <v>0.22574028995880877</v>
      </c>
      <c r="AG45" s="37">
        <f t="shared" si="37"/>
        <v>5.9621653857503851E-4</v>
      </c>
      <c r="AH45" s="37">
        <f t="shared" si="38"/>
        <v>1.4190641610430842E-2</v>
      </c>
      <c r="AI45" s="40">
        <f t="shared" si="21"/>
        <v>1.478685814900588E-2</v>
      </c>
      <c r="AJ45" s="39">
        <f t="shared" si="22"/>
        <v>1.1230562757176207E-4</v>
      </c>
      <c r="AK45" s="37">
        <f t="shared" si="39"/>
        <v>1.7573857738764867E-2</v>
      </c>
      <c r="AL45" s="37">
        <f t="shared" si="40"/>
        <v>2.0266666666666671E-3</v>
      </c>
      <c r="AM45" s="37">
        <f t="shared" si="41"/>
        <v>0.85400000000000009</v>
      </c>
      <c r="AN45" s="40">
        <f t="shared" si="23"/>
        <v>0.85602666666666671</v>
      </c>
      <c r="AO45" s="39">
        <f t="shared" si="42"/>
        <v>2.3950578900022914E-3</v>
      </c>
      <c r="AP45" s="37">
        <f t="shared" si="43"/>
        <v>2.1600000000000001E-2</v>
      </c>
      <c r="AQ45" s="40">
        <f t="shared" si="44"/>
        <v>2.2499999999999998E-3</v>
      </c>
      <c r="AR45" s="39">
        <f t="shared" si="24"/>
        <v>0.8988529458702027</v>
      </c>
      <c r="AS45" s="37">
        <f t="shared" si="25"/>
        <v>0.4306666666666667</v>
      </c>
      <c r="AT45" s="40">
        <f t="shared" si="26"/>
        <v>32.392652399080255</v>
      </c>
    </row>
    <row r="46" spans="17:46" x14ac:dyDescent="0.2">
      <c r="Q46">
        <v>39</v>
      </c>
      <c r="R46" s="39">
        <f t="shared" si="0"/>
        <v>170</v>
      </c>
      <c r="S46" s="37">
        <f t="shared" si="30"/>
        <v>2.6000000000000003E-3</v>
      </c>
      <c r="T46" s="37">
        <f t="shared" si="2"/>
        <v>5</v>
      </c>
      <c r="U46" s="40">
        <f t="shared" si="31"/>
        <v>0.10400000000000001</v>
      </c>
      <c r="V46" s="39">
        <f t="shared" si="32"/>
        <v>1</v>
      </c>
      <c r="W46" s="37">
        <f t="shared" si="33"/>
        <v>0.18525657883055058</v>
      </c>
      <c r="X46" s="40">
        <f t="shared" si="34"/>
        <v>1.122767144427579E-3</v>
      </c>
      <c r="Y46" s="39">
        <f t="shared" si="35"/>
        <v>0.926282894152753</v>
      </c>
      <c r="Z46" s="37">
        <f t="shared" si="28"/>
        <v>0.926282894152753</v>
      </c>
      <c r="AA46" s="37">
        <f t="shared" si="29"/>
        <v>0.23087765796811907</v>
      </c>
      <c r="AB46" s="37">
        <v>0</v>
      </c>
      <c r="AC46" s="37">
        <f t="shared" si="36"/>
        <v>1.8656572532095323E-3</v>
      </c>
      <c r="AD46" s="40">
        <f t="shared" si="19"/>
        <v>1.8656572532095323E-3</v>
      </c>
      <c r="AE46" s="39">
        <f t="shared" si="27"/>
        <v>1.9266684198377262E-2</v>
      </c>
      <c r="AF46" s="37">
        <f t="shared" si="20"/>
        <v>0.23018119285801236</v>
      </c>
      <c r="AG46" s="37">
        <f t="shared" si="37"/>
        <v>6.1990556408278853E-4</v>
      </c>
      <c r="AH46" s="37">
        <f t="shared" si="38"/>
        <v>1.4564079547547442E-2</v>
      </c>
      <c r="AI46" s="40">
        <f t="shared" si="21"/>
        <v>1.518398511163023E-2</v>
      </c>
      <c r="AJ46" s="39">
        <f t="shared" si="22"/>
        <v>1.1676778302046824E-4</v>
      </c>
      <c r="AK46" s="37">
        <f t="shared" si="39"/>
        <v>1.7919581560580249E-2</v>
      </c>
      <c r="AL46" s="37">
        <f t="shared" si="40"/>
        <v>2.0800000000000003E-3</v>
      </c>
      <c r="AM46" s="37">
        <f t="shared" si="41"/>
        <v>0.85400000000000009</v>
      </c>
      <c r="AN46" s="40">
        <f t="shared" si="23"/>
        <v>0.85608000000000006</v>
      </c>
      <c r="AO46" s="39">
        <f t="shared" si="42"/>
        <v>2.4902189326402617E-3</v>
      </c>
      <c r="AP46" s="37">
        <f t="shared" si="43"/>
        <v>2.1600000000000001E-2</v>
      </c>
      <c r="AQ46" s="40">
        <f t="shared" si="44"/>
        <v>2.2499999999999998E-3</v>
      </c>
      <c r="AR46" s="39">
        <f t="shared" si="24"/>
        <v>0.89946986129747997</v>
      </c>
      <c r="AS46" s="37">
        <f t="shared" si="25"/>
        <v>0.44200000000000006</v>
      </c>
      <c r="AT46" s="40">
        <f t="shared" si="26"/>
        <v>32.948932566587388</v>
      </c>
    </row>
    <row r="47" spans="17:46" x14ac:dyDescent="0.2">
      <c r="Q47">
        <v>40</v>
      </c>
      <c r="R47" s="39">
        <f t="shared" si="0"/>
        <v>170</v>
      </c>
      <c r="S47" s="37">
        <f t="shared" si="30"/>
        <v>2.666666666666667E-3</v>
      </c>
      <c r="T47" s="37">
        <f t="shared" si="2"/>
        <v>5</v>
      </c>
      <c r="U47" s="40">
        <f t="shared" si="31"/>
        <v>0.10666666666666667</v>
      </c>
      <c r="V47" s="39">
        <f t="shared" si="32"/>
        <v>1</v>
      </c>
      <c r="W47" s="37">
        <f t="shared" si="33"/>
        <v>0.18761663039293719</v>
      </c>
      <c r="X47" s="40">
        <f t="shared" si="34"/>
        <v>1.1370704872299222E-3</v>
      </c>
      <c r="Y47" s="39">
        <f t="shared" si="35"/>
        <v>0.93808315196468606</v>
      </c>
      <c r="Z47" s="37">
        <f t="shared" si="28"/>
        <v>0.93808315196468606</v>
      </c>
      <c r="AA47" s="37">
        <f t="shared" si="29"/>
        <v>0.23530353218382077</v>
      </c>
      <c r="AB47" s="37">
        <v>0</v>
      </c>
      <c r="AC47" s="37">
        <f t="shared" si="36"/>
        <v>1.9378713290363833E-3</v>
      </c>
      <c r="AD47" s="40">
        <f t="shared" si="19"/>
        <v>1.9378713290363833E-3</v>
      </c>
      <c r="AE47" s="39">
        <f t="shared" si="27"/>
        <v>2.0012440575246634E-2</v>
      </c>
      <c r="AF47" s="37">
        <f t="shared" si="20"/>
        <v>0.23459371598985393</v>
      </c>
      <c r="AG47" s="37">
        <f t="shared" si="37"/>
        <v>6.439002755085605E-4</v>
      </c>
      <c r="AH47" s="37">
        <f t="shared" si="38"/>
        <v>1.4937517484664041E-2</v>
      </c>
      <c r="AI47" s="40">
        <f t="shared" si="21"/>
        <v>1.55814177601726E-2</v>
      </c>
      <c r="AJ47" s="39">
        <f t="shared" si="22"/>
        <v>1.2128751863785837E-4</v>
      </c>
      <c r="AK47" s="37">
        <f t="shared" si="39"/>
        <v>1.826309602050295E-2</v>
      </c>
      <c r="AL47" s="37">
        <f t="shared" si="40"/>
        <v>2.1333333333333339E-3</v>
      </c>
      <c r="AM47" s="37">
        <f t="shared" si="41"/>
        <v>0.85400000000000009</v>
      </c>
      <c r="AN47" s="40">
        <f t="shared" si="23"/>
        <v>0.85613333333333341</v>
      </c>
      <c r="AO47" s="39">
        <f t="shared" si="42"/>
        <v>2.5866079443506275E-3</v>
      </c>
      <c r="AP47" s="37">
        <f t="shared" si="43"/>
        <v>2.1600000000000001E-2</v>
      </c>
      <c r="AQ47" s="40">
        <f t="shared" si="44"/>
        <v>2.2499999999999998E-3</v>
      </c>
      <c r="AR47" s="39">
        <f t="shared" si="24"/>
        <v>0.90008923036689292</v>
      </c>
      <c r="AS47" s="37">
        <f t="shared" si="25"/>
        <v>0.45333333333333337</v>
      </c>
      <c r="AT47" s="40">
        <f t="shared" si="26"/>
        <v>33.495328472574776</v>
      </c>
    </row>
    <row r="48" spans="17:46" x14ac:dyDescent="0.2">
      <c r="Q48">
        <v>41</v>
      </c>
      <c r="R48" s="39">
        <f t="shared" si="0"/>
        <v>170</v>
      </c>
      <c r="S48" s="37">
        <f t="shared" si="30"/>
        <v>2.7333333333333333E-3</v>
      </c>
      <c r="T48" s="37">
        <f t="shared" si="2"/>
        <v>5</v>
      </c>
      <c r="U48" s="40">
        <f t="shared" si="31"/>
        <v>0.10933333333333334</v>
      </c>
      <c r="V48" s="39">
        <f t="shared" si="32"/>
        <v>1</v>
      </c>
      <c r="W48" s="37">
        <f t="shared" si="33"/>
        <v>0.18994736112934024</v>
      </c>
      <c r="X48" s="40">
        <f t="shared" si="34"/>
        <v>1.1511961280566076E-3</v>
      </c>
      <c r="Y48" s="39">
        <f t="shared" si="35"/>
        <v>0.94973680564670138</v>
      </c>
      <c r="Z48" s="37">
        <f t="shared" si="28"/>
        <v>0.94973680564670138</v>
      </c>
      <c r="AA48" s="37">
        <f t="shared" si="29"/>
        <v>0.23970182772642903</v>
      </c>
      <c r="AB48" s="37">
        <v>0</v>
      </c>
      <c r="AC48" s="37">
        <f t="shared" si="36"/>
        <v>2.0109938175386735E-3</v>
      </c>
      <c r="AD48" s="40">
        <f t="shared" si="19"/>
        <v>2.0109938175386735E-3</v>
      </c>
      <c r="AE48" s="39">
        <f t="shared" si="27"/>
        <v>2.07675781501412E-2</v>
      </c>
      <c r="AF48" s="37">
        <f t="shared" si="20"/>
        <v>0.23897874364237567</v>
      </c>
      <c r="AG48" s="37">
        <f t="shared" si="37"/>
        <v>6.6819682698079322E-4</v>
      </c>
      <c r="AH48" s="37">
        <f t="shared" si="38"/>
        <v>1.5310955421780641E-2</v>
      </c>
      <c r="AI48" s="40">
        <f t="shared" si="21"/>
        <v>1.5979152248761435E-2</v>
      </c>
      <c r="AJ48" s="39">
        <f t="shared" si="22"/>
        <v>1.2586411000085575E-4</v>
      </c>
      <c r="AK48" s="37">
        <f t="shared" si="39"/>
        <v>1.8604469960263673E-2</v>
      </c>
      <c r="AL48" s="37">
        <f t="shared" si="40"/>
        <v>2.1866666666666666E-3</v>
      </c>
      <c r="AM48" s="37">
        <f t="shared" si="41"/>
        <v>0.85400000000000009</v>
      </c>
      <c r="AN48" s="40">
        <f t="shared" si="23"/>
        <v>0.85618666666666676</v>
      </c>
      <c r="AO48" s="39">
        <f t="shared" si="42"/>
        <v>2.6842094759057505E-3</v>
      </c>
      <c r="AP48" s="37">
        <f t="shared" si="43"/>
        <v>2.1600000000000001E-2</v>
      </c>
      <c r="AQ48" s="40">
        <f t="shared" si="44"/>
        <v>2.2499999999999998E-3</v>
      </c>
      <c r="AR48" s="39">
        <f t="shared" si="24"/>
        <v>0.90071102220887256</v>
      </c>
      <c r="AS48" s="37">
        <f t="shared" si="25"/>
        <v>0.46466666666666667</v>
      </c>
      <c r="AT48" s="40">
        <f t="shared" si="26"/>
        <v>34.032097525289444</v>
      </c>
    </row>
    <row r="49" spans="17:46" x14ac:dyDescent="0.2">
      <c r="Q49">
        <v>42</v>
      </c>
      <c r="R49" s="39">
        <f t="shared" si="0"/>
        <v>170</v>
      </c>
      <c r="S49" s="37">
        <f t="shared" si="30"/>
        <v>2.8E-3</v>
      </c>
      <c r="T49" s="37">
        <f t="shared" si="2"/>
        <v>5</v>
      </c>
      <c r="U49" s="40">
        <f t="shared" si="31"/>
        <v>0.11199999999999999</v>
      </c>
      <c r="V49" s="39">
        <f t="shared" si="32"/>
        <v>1</v>
      </c>
      <c r="W49" s="37">
        <f t="shared" si="33"/>
        <v>0.19224983745116664</v>
      </c>
      <c r="X49" s="40">
        <f t="shared" si="34"/>
        <v>1.1651505300070706E-3</v>
      </c>
      <c r="Y49" s="39">
        <f t="shared" si="35"/>
        <v>0.9612491872558333</v>
      </c>
      <c r="Z49" s="37">
        <f t="shared" si="28"/>
        <v>0.9612491872558333</v>
      </c>
      <c r="AA49" s="37">
        <f t="shared" si="29"/>
        <v>0.24407338301871734</v>
      </c>
      <c r="AB49" s="37">
        <v>0</v>
      </c>
      <c r="AC49" s="37">
        <f t="shared" si="36"/>
        <v>2.0850135704370528E-3</v>
      </c>
      <c r="AD49" s="40">
        <f t="shared" si="19"/>
        <v>2.0850135704370528E-3</v>
      </c>
      <c r="AE49" s="39">
        <f t="shared" si="27"/>
        <v>2.1531981794530662E-2</v>
      </c>
      <c r="AF49" s="37">
        <f t="shared" si="20"/>
        <v>0.24333711170916641</v>
      </c>
      <c r="AG49" s="37">
        <f t="shared" si="37"/>
        <v>6.9279151423902419E-4</v>
      </c>
      <c r="AH49" s="37">
        <f t="shared" si="38"/>
        <v>1.5684393358897243E-2</v>
      </c>
      <c r="AI49" s="40">
        <f t="shared" si="21"/>
        <v>1.6377184873136268E-2</v>
      </c>
      <c r="AJ49" s="39">
        <f t="shared" si="22"/>
        <v>1.3049685936079188E-4</v>
      </c>
      <c r="AK49" s="37">
        <f t="shared" si="39"/>
        <v>1.8943768454090064E-2</v>
      </c>
      <c r="AL49" s="37">
        <f t="shared" si="40"/>
        <v>2.2400000000000002E-3</v>
      </c>
      <c r="AM49" s="37">
        <f t="shared" si="41"/>
        <v>0.85400000000000009</v>
      </c>
      <c r="AN49" s="40">
        <f t="shared" si="23"/>
        <v>0.85624000000000011</v>
      </c>
      <c r="AO49" s="39">
        <f t="shared" si="42"/>
        <v>2.7830086469430885E-3</v>
      </c>
      <c r="AP49" s="37">
        <f t="shared" si="43"/>
        <v>2.1600000000000001E-2</v>
      </c>
      <c r="AQ49" s="40">
        <f t="shared" si="44"/>
        <v>2.2499999999999998E-3</v>
      </c>
      <c r="AR49" s="39">
        <f t="shared" si="24"/>
        <v>0.9013352070905164</v>
      </c>
      <c r="AS49" s="37">
        <f t="shared" si="25"/>
        <v>0.47599999999999998</v>
      </c>
      <c r="AT49" s="40">
        <f t="shared" si="26"/>
        <v>34.559488318424869</v>
      </c>
    </row>
    <row r="50" spans="17:46" x14ac:dyDescent="0.2">
      <c r="Q50">
        <v>43</v>
      </c>
      <c r="R50" s="39">
        <f t="shared" si="0"/>
        <v>170</v>
      </c>
      <c r="S50" s="37">
        <f t="shared" si="30"/>
        <v>2.8666666666666667E-3</v>
      </c>
      <c r="T50" s="37">
        <f t="shared" si="2"/>
        <v>5</v>
      </c>
      <c r="U50" s="40">
        <f t="shared" si="31"/>
        <v>0.11466666666666667</v>
      </c>
      <c r="V50" s="39">
        <f t="shared" si="32"/>
        <v>1</v>
      </c>
      <c r="W50" s="37">
        <f t="shared" si="33"/>
        <v>0.19452506265260525</v>
      </c>
      <c r="X50" s="40">
        <f t="shared" si="34"/>
        <v>1.1789397736521529E-3</v>
      </c>
      <c r="Y50" s="39">
        <f t="shared" si="35"/>
        <v>0.97262531326302637</v>
      </c>
      <c r="Z50" s="37">
        <f t="shared" si="28"/>
        <v>0.97262531326302637</v>
      </c>
      <c r="AA50" s="37">
        <f t="shared" si="29"/>
        <v>0.24841899168893369</v>
      </c>
      <c r="AB50" s="37">
        <v>0</v>
      </c>
      <c r="AC50" s="37">
        <f t="shared" si="36"/>
        <v>2.159919840111128E-3</v>
      </c>
      <c r="AD50" s="40">
        <f t="shared" si="19"/>
        <v>2.159919840111128E-3</v>
      </c>
      <c r="AE50" s="39">
        <f t="shared" si="27"/>
        <v>2.2305540517498734E-2</v>
      </c>
      <c r="AF50" s="37">
        <f t="shared" si="20"/>
        <v>0.24766961142441662</v>
      </c>
      <c r="AG50" s="37">
        <f t="shared" si="37"/>
        <v>7.1768076615052188E-4</v>
      </c>
      <c r="AH50" s="37">
        <f t="shared" si="38"/>
        <v>1.6057831296013843E-2</v>
      </c>
      <c r="AI50" s="40">
        <f t="shared" si="21"/>
        <v>1.6775512062164367E-2</v>
      </c>
      <c r="AJ50" s="39">
        <f t="shared" si="22"/>
        <v>1.3518509404544687E-4</v>
      </c>
      <c r="AK50" s="37">
        <f t="shared" si="39"/>
        <v>1.9281053099480302E-2</v>
      </c>
      <c r="AL50" s="37">
        <f t="shared" si="40"/>
        <v>2.2933333333333334E-3</v>
      </c>
      <c r="AM50" s="37">
        <f t="shared" si="41"/>
        <v>0.85400000000000009</v>
      </c>
      <c r="AN50" s="40">
        <f t="shared" si="23"/>
        <v>0.85629333333333346</v>
      </c>
      <c r="AO50" s="39">
        <f t="shared" si="42"/>
        <v>2.8829911118867118E-3</v>
      </c>
      <c r="AP50" s="37">
        <f t="shared" si="43"/>
        <v>2.1600000000000001E-2</v>
      </c>
      <c r="AQ50" s="40">
        <f t="shared" si="44"/>
        <v>2.2499999999999998E-3</v>
      </c>
      <c r="AR50" s="39">
        <f t="shared" si="24"/>
        <v>0.90196175634749554</v>
      </c>
      <c r="AS50" s="37">
        <f t="shared" si="25"/>
        <v>0.48733333333333334</v>
      </c>
      <c r="AT50" s="40">
        <f t="shared" si="26"/>
        <v>35.077741003553918</v>
      </c>
    </row>
    <row r="51" spans="17:46" x14ac:dyDescent="0.2">
      <c r="Q51">
        <v>44</v>
      </c>
      <c r="R51" s="39">
        <f t="shared" si="0"/>
        <v>170</v>
      </c>
      <c r="S51" s="37">
        <f t="shared" si="30"/>
        <v>2.9333333333333334E-3</v>
      </c>
      <c r="T51" s="37">
        <f t="shared" si="2"/>
        <v>5</v>
      </c>
      <c r="U51" s="40">
        <f t="shared" si="31"/>
        <v>0.11733333333333333</v>
      </c>
      <c r="V51" s="39">
        <f t="shared" si="32"/>
        <v>1</v>
      </c>
      <c r="W51" s="37">
        <f t="shared" si="33"/>
        <v>0.19677398201998147</v>
      </c>
      <c r="X51" s="40">
        <f t="shared" si="34"/>
        <v>1.1925695879998876E-3</v>
      </c>
      <c r="Y51" s="39">
        <f t="shared" si="35"/>
        <v>0.98386991009990743</v>
      </c>
      <c r="Z51" s="37">
        <f t="shared" si="28"/>
        <v>0.98386991009990743</v>
      </c>
      <c r="AA51" s="37">
        <f t="shared" si="29"/>
        <v>0.25273940594779037</v>
      </c>
      <c r="AB51" s="37">
        <v>0</v>
      </c>
      <c r="AC51" s="37">
        <f t="shared" si="36"/>
        <v>2.2357022561594691E-3</v>
      </c>
      <c r="AD51" s="40">
        <f t="shared" si="19"/>
        <v>2.2357022561594691E-3</v>
      </c>
      <c r="AE51" s="39">
        <f t="shared" si="27"/>
        <v>2.3088147223677826E-2</v>
      </c>
      <c r="AF51" s="37">
        <f t="shared" si="20"/>
        <v>0.25197699272972135</v>
      </c>
      <c r="AG51" s="37">
        <f t="shared" si="37"/>
        <v>7.4286113692183448E-4</v>
      </c>
      <c r="AH51" s="37">
        <f t="shared" si="38"/>
        <v>1.6431269233130444E-2</v>
      </c>
      <c r="AI51" s="40">
        <f t="shared" si="21"/>
        <v>1.717413037005228E-2</v>
      </c>
      <c r="AJ51" s="39">
        <f t="shared" si="22"/>
        <v>1.3992816499198681E-4</v>
      </c>
      <c r="AK51" s="37">
        <f t="shared" si="39"/>
        <v>1.9616382279308377E-2</v>
      </c>
      <c r="AL51" s="37">
        <f t="shared" si="40"/>
        <v>2.346666666666667E-3</v>
      </c>
      <c r="AM51" s="37">
        <f t="shared" si="41"/>
        <v>0.85400000000000009</v>
      </c>
      <c r="AN51" s="40">
        <f t="shared" si="23"/>
        <v>0.85634666666666681</v>
      </c>
      <c r="AO51" s="39">
        <f t="shared" si="42"/>
        <v>2.9841430286603604E-3</v>
      </c>
      <c r="AP51" s="37">
        <f t="shared" si="43"/>
        <v>2.1600000000000001E-2</v>
      </c>
      <c r="AQ51" s="40">
        <f t="shared" si="44"/>
        <v>2.2499999999999998E-3</v>
      </c>
      <c r="AR51" s="39">
        <f t="shared" si="24"/>
        <v>0.90259064232153885</v>
      </c>
      <c r="AS51" s="37">
        <f t="shared" si="25"/>
        <v>0.49866666666666665</v>
      </c>
      <c r="AT51" s="40">
        <f t="shared" si="26"/>
        <v>35.587087643934204</v>
      </c>
    </row>
    <row r="52" spans="17:46" x14ac:dyDescent="0.2">
      <c r="Q52">
        <v>45</v>
      </c>
      <c r="R52" s="39">
        <f t="shared" si="0"/>
        <v>170</v>
      </c>
      <c r="S52" s="37">
        <f t="shared" si="30"/>
        <v>3.0000000000000001E-3</v>
      </c>
      <c r="T52" s="37">
        <f t="shared" si="2"/>
        <v>5</v>
      </c>
      <c r="U52" s="40">
        <f t="shared" si="31"/>
        <v>0.12</v>
      </c>
      <c r="V52" s="39">
        <f t="shared" si="32"/>
        <v>1</v>
      </c>
      <c r="W52" s="37">
        <f t="shared" si="33"/>
        <v>0.19899748742132398</v>
      </c>
      <c r="X52" s="40">
        <f t="shared" si="34"/>
        <v>1.2060453783110541E-3</v>
      </c>
      <c r="Y52" s="39">
        <f t="shared" si="35"/>
        <v>0.99498743710661997</v>
      </c>
      <c r="Z52" s="37">
        <f t="shared" si="28"/>
        <v>0.99498743710661997</v>
      </c>
      <c r="AA52" s="37">
        <f t="shared" si="29"/>
        <v>0.25703533964005726</v>
      </c>
      <c r="AB52" s="37">
        <v>0</v>
      </c>
      <c r="AC52" s="37">
        <f t="shared" si="36"/>
        <v>2.3123508038357856E-3</v>
      </c>
      <c r="AD52" s="40">
        <f t="shared" si="19"/>
        <v>2.3123508038357856E-3</v>
      </c>
      <c r="AE52" s="39">
        <f t="shared" si="27"/>
        <v>2.3879698490558876E-2</v>
      </c>
      <c r="AF52" s="37">
        <f t="shared" si="20"/>
        <v>0.25625996731646733</v>
      </c>
      <c r="AG52" s="37">
        <f t="shared" si="37"/>
        <v>7.6832929893373182E-4</v>
      </c>
      <c r="AH52" s="37">
        <f t="shared" si="38"/>
        <v>1.6804707170247044E-2</v>
      </c>
      <c r="AI52" s="40">
        <f t="shared" si="21"/>
        <v>1.7573036469180778E-2</v>
      </c>
      <c r="AJ52" s="39">
        <f t="shared" si="22"/>
        <v>1.4472544539732648E-4</v>
      </c>
      <c r="AK52" s="37">
        <f t="shared" si="39"/>
        <v>1.994981139867362E-2</v>
      </c>
      <c r="AL52" s="37">
        <f t="shared" si="40"/>
        <v>2.4000000000000002E-3</v>
      </c>
      <c r="AM52" s="37">
        <f t="shared" si="41"/>
        <v>0.85400000000000009</v>
      </c>
      <c r="AN52" s="40">
        <f t="shared" si="23"/>
        <v>0.85640000000000005</v>
      </c>
      <c r="AO52" s="39">
        <f t="shared" si="42"/>
        <v>3.0864510299047345E-3</v>
      </c>
      <c r="AP52" s="37">
        <f t="shared" si="43"/>
        <v>2.1600000000000001E-2</v>
      </c>
      <c r="AQ52" s="40">
        <f t="shared" si="44"/>
        <v>2.2499999999999998E-3</v>
      </c>
      <c r="AR52" s="39">
        <f t="shared" si="24"/>
        <v>0.90322183830292113</v>
      </c>
      <c r="AS52" s="37">
        <f t="shared" si="25"/>
        <v>0.51</v>
      </c>
      <c r="AT52" s="40">
        <f t="shared" si="26"/>
        <v>36.087752550755766</v>
      </c>
    </row>
    <row r="53" spans="17:46" x14ac:dyDescent="0.2">
      <c r="Q53">
        <v>46</v>
      </c>
      <c r="R53" s="39">
        <f t="shared" si="0"/>
        <v>170</v>
      </c>
      <c r="S53" s="37">
        <f t="shared" si="30"/>
        <v>3.0666666666666668E-3</v>
      </c>
      <c r="T53" s="37">
        <f t="shared" si="2"/>
        <v>5</v>
      </c>
      <c r="U53" s="40">
        <f t="shared" si="31"/>
        <v>0.12266666666666666</v>
      </c>
      <c r="V53" s="39">
        <f t="shared" si="32"/>
        <v>1</v>
      </c>
      <c r="W53" s="37">
        <f t="shared" si="33"/>
        <v>0.20119642143934863</v>
      </c>
      <c r="X53" s="40">
        <f t="shared" si="34"/>
        <v>1.2193722511475674E-3</v>
      </c>
      <c r="Y53" s="39">
        <f t="shared" si="35"/>
        <v>1.0059821071967434</v>
      </c>
      <c r="Z53" s="37">
        <f t="shared" si="28"/>
        <v>1.0059821071967434</v>
      </c>
      <c r="AA53" s="37">
        <f t="shared" si="29"/>
        <v>0.26130747100863266</v>
      </c>
      <c r="AB53" s="37">
        <v>0</v>
      </c>
      <c r="AC53" s="37">
        <f t="shared" si="36"/>
        <v>2.3898558041724593E-3</v>
      </c>
      <c r="AD53" s="40">
        <f t="shared" si="19"/>
        <v>2.3898558041724593E-3</v>
      </c>
      <c r="AE53" s="39">
        <f t="shared" si="27"/>
        <v>2.4680094363226764E-2</v>
      </c>
      <c r="AF53" s="37">
        <f t="shared" si="20"/>
        <v>0.26051921138156708</v>
      </c>
      <c r="AG53" s="37">
        <f t="shared" si="37"/>
        <v>7.9408203613682161E-4</v>
      </c>
      <c r="AH53" s="37">
        <f t="shared" si="38"/>
        <v>1.7178145107363648E-2</v>
      </c>
      <c r="AI53" s="40">
        <f t="shared" si="21"/>
        <v>1.7972227143500469E-2</v>
      </c>
      <c r="AJ53" s="39">
        <f t="shared" si="22"/>
        <v>1.495763294741016E-4</v>
      </c>
      <c r="AK53" s="37">
        <f t="shared" si="39"/>
        <v>2.0281393099434258E-2</v>
      </c>
      <c r="AL53" s="37">
        <f t="shared" si="40"/>
        <v>2.4533333333333334E-3</v>
      </c>
      <c r="AM53" s="37">
        <f t="shared" si="41"/>
        <v>0.85400000000000009</v>
      </c>
      <c r="AN53" s="40">
        <f t="shared" si="23"/>
        <v>0.8564533333333334</v>
      </c>
      <c r="AO53" s="39">
        <f t="shared" si="42"/>
        <v>3.189902196447061E-3</v>
      </c>
      <c r="AP53" s="37">
        <f t="shared" si="43"/>
        <v>2.1600000000000001E-2</v>
      </c>
      <c r="AQ53" s="40">
        <f t="shared" si="44"/>
        <v>2.2499999999999998E-3</v>
      </c>
      <c r="AR53" s="39">
        <f t="shared" si="24"/>
        <v>0.90385531847745337</v>
      </c>
      <c r="AS53" s="37">
        <f t="shared" si="25"/>
        <v>0.52133333333333332</v>
      </c>
      <c r="AT53" s="40">
        <f t="shared" si="26"/>
        <v>36.579952602832506</v>
      </c>
    </row>
    <row r="54" spans="17:46" x14ac:dyDescent="0.2">
      <c r="Q54">
        <v>47</v>
      </c>
      <c r="R54" s="39">
        <f t="shared" si="0"/>
        <v>170</v>
      </c>
      <c r="S54" s="37">
        <f t="shared" si="30"/>
        <v>3.1333333333333335E-3</v>
      </c>
      <c r="T54" s="37">
        <f t="shared" si="2"/>
        <v>5</v>
      </c>
      <c r="U54" s="40">
        <f t="shared" si="31"/>
        <v>0.12533333333333335</v>
      </c>
      <c r="V54" s="39">
        <f t="shared" si="32"/>
        <v>1</v>
      </c>
      <c r="W54" s="37">
        <f t="shared" si="33"/>
        <v>0.20337158110217857</v>
      </c>
      <c r="X54" s="40">
        <f t="shared" si="34"/>
        <v>1.2325550369829004E-3</v>
      </c>
      <c r="Y54" s="39">
        <f t="shared" si="35"/>
        <v>1.0168579055108931</v>
      </c>
      <c r="Z54" s="37">
        <f t="shared" si="28"/>
        <v>1.0168579055108931</v>
      </c>
      <c r="AA54" s="37">
        <f t="shared" si="29"/>
        <v>0.26555644520383553</v>
      </c>
      <c r="AB54" s="37">
        <v>0</v>
      </c>
      <c r="AC54" s="37">
        <f t="shared" si="36"/>
        <v>2.4682078956254198E-3</v>
      </c>
      <c r="AD54" s="40">
        <f t="shared" si="19"/>
        <v>2.4682078956254198E-3</v>
      </c>
      <c r="AE54" s="39">
        <f t="shared" si="27"/>
        <v>2.5489238164806385E-2</v>
      </c>
      <c r="AF54" s="37">
        <f t="shared" si="20"/>
        <v>0.26475536812917988</v>
      </c>
      <c r="AG54" s="37">
        <f t="shared" si="37"/>
        <v>8.2011623795264551E-4</v>
      </c>
      <c r="AH54" s="37">
        <f t="shared" si="38"/>
        <v>1.7551583044480252E-2</v>
      </c>
      <c r="AI54" s="40">
        <f t="shared" si="21"/>
        <v>1.8371699282432898E-2</v>
      </c>
      <c r="AJ54" s="39">
        <f t="shared" si="22"/>
        <v>1.5448023130185687E-4</v>
      </c>
      <c r="AK54" s="37">
        <f t="shared" si="39"/>
        <v>2.0611177454966188E-2</v>
      </c>
      <c r="AL54" s="37">
        <f t="shared" si="40"/>
        <v>2.506666666666667E-3</v>
      </c>
      <c r="AM54" s="37">
        <f t="shared" si="41"/>
        <v>0.85400000000000009</v>
      </c>
      <c r="AN54" s="40">
        <f t="shared" si="23"/>
        <v>0.85650666666666675</v>
      </c>
      <c r="AO54" s="39">
        <f t="shared" si="42"/>
        <v>3.2944840328012251E-3</v>
      </c>
      <c r="AP54" s="37">
        <f t="shared" si="43"/>
        <v>2.1600000000000001E-2</v>
      </c>
      <c r="AQ54" s="40">
        <f t="shared" si="44"/>
        <v>2.2499999999999998E-3</v>
      </c>
      <c r="AR54" s="39">
        <f t="shared" si="24"/>
        <v>0.90449105787752615</v>
      </c>
      <c r="AS54" s="37">
        <f t="shared" si="25"/>
        <v>0.53266666666666673</v>
      </c>
      <c r="AT54" s="40">
        <f t="shared" si="26"/>
        <v>37.06389755067466</v>
      </c>
    </row>
    <row r="55" spans="17:46" x14ac:dyDescent="0.2">
      <c r="Q55">
        <v>48</v>
      </c>
      <c r="R55" s="39">
        <f t="shared" si="0"/>
        <v>170</v>
      </c>
      <c r="S55" s="37">
        <f t="shared" si="30"/>
        <v>3.2000000000000002E-3</v>
      </c>
      <c r="T55" s="37">
        <f t="shared" si="2"/>
        <v>5</v>
      </c>
      <c r="U55" s="40">
        <f t="shared" si="31"/>
        <v>0.128</v>
      </c>
      <c r="V55" s="39">
        <f t="shared" si="32"/>
        <v>1</v>
      </c>
      <c r="W55" s="37">
        <f t="shared" si="33"/>
        <v>0.20552372125864207</v>
      </c>
      <c r="X55" s="40">
        <f t="shared" si="34"/>
        <v>1.2455983106584366E-3</v>
      </c>
      <c r="Y55" s="39">
        <f t="shared" si="35"/>
        <v>1.0276186062932107</v>
      </c>
      <c r="Z55" s="37">
        <f t="shared" si="28"/>
        <v>1.0276186062932107</v>
      </c>
      <c r="AA55" s="37">
        <f t="shared" si="29"/>
        <v>0.26978287656631178</v>
      </c>
      <c r="AB55" s="37">
        <v>0</v>
      </c>
      <c r="AC55" s="37">
        <f t="shared" si="36"/>
        <v>2.5473980170937841E-3</v>
      </c>
      <c r="AD55" s="40">
        <f t="shared" si="19"/>
        <v>2.5473980170937841E-3</v>
      </c>
      <c r="AE55" s="39">
        <f t="shared" si="27"/>
        <v>2.6307036321106186E-2</v>
      </c>
      <c r="AF55" s="37">
        <f t="shared" si="20"/>
        <v>0.26896905004673316</v>
      </c>
      <c r="AG55" s="37">
        <f t="shared" si="37"/>
        <v>8.4642889363159199E-4</v>
      </c>
      <c r="AH55" s="37">
        <f t="shared" si="38"/>
        <v>1.7925020981596849E-2</v>
      </c>
      <c r="AI55" s="40">
        <f t="shared" si="21"/>
        <v>1.8771449875228441E-2</v>
      </c>
      <c r="AJ55" s="39">
        <f t="shared" si="22"/>
        <v>1.5943658376427989E-4</v>
      </c>
      <c r="AK55" s="37">
        <f t="shared" si="39"/>
        <v>2.093921214735096E-2</v>
      </c>
      <c r="AL55" s="37">
        <f t="shared" si="40"/>
        <v>2.5600000000000002E-3</v>
      </c>
      <c r="AM55" s="37">
        <f t="shared" si="41"/>
        <v>0.85400000000000009</v>
      </c>
      <c r="AN55" s="40">
        <f t="shared" si="23"/>
        <v>0.8565600000000001</v>
      </c>
      <c r="AO55" s="39">
        <f t="shared" si="42"/>
        <v>3.4001844445029762E-3</v>
      </c>
      <c r="AP55" s="37">
        <f t="shared" si="43"/>
        <v>2.1600000000000001E-2</v>
      </c>
      <c r="AQ55" s="40">
        <f t="shared" si="44"/>
        <v>2.2499999999999998E-3</v>
      </c>
      <c r="AR55" s="39">
        <f t="shared" si="24"/>
        <v>0.90512903233682529</v>
      </c>
      <c r="AS55" s="37">
        <f t="shared" si="25"/>
        <v>0.54400000000000004</v>
      </c>
      <c r="AT55" s="40">
        <f t="shared" si="26"/>
        <v>37.539790305819814</v>
      </c>
    </row>
    <row r="56" spans="17:46" x14ac:dyDescent="0.2">
      <c r="Q56">
        <v>49</v>
      </c>
      <c r="R56" s="39">
        <f t="shared" si="0"/>
        <v>170</v>
      </c>
      <c r="S56" s="37">
        <f t="shared" si="30"/>
        <v>3.2666666666666669E-3</v>
      </c>
      <c r="T56" s="37">
        <f t="shared" si="2"/>
        <v>5</v>
      </c>
      <c r="U56" s="40">
        <f t="shared" si="31"/>
        <v>0.13066666666666668</v>
      </c>
      <c r="V56" s="39">
        <f t="shared" si="32"/>
        <v>1</v>
      </c>
      <c r="W56" s="37">
        <f t="shared" si="33"/>
        <v>0.20765355763867857</v>
      </c>
      <c r="X56" s="40">
        <f t="shared" si="34"/>
        <v>1.258506409931385E-3</v>
      </c>
      <c r="Y56" s="39">
        <f t="shared" si="35"/>
        <v>1.038267788193393</v>
      </c>
      <c r="Z56" s="37">
        <f t="shared" si="28"/>
        <v>1.038267788193393</v>
      </c>
      <c r="AA56" s="37">
        <f t="shared" si="29"/>
        <v>0.27398735070826513</v>
      </c>
      <c r="AB56" s="37">
        <v>0</v>
      </c>
      <c r="AC56" s="37">
        <f t="shared" si="36"/>
        <v>2.6274173921846857E-3</v>
      </c>
      <c r="AD56" s="40">
        <f t="shared" si="19"/>
        <v>2.6274173921846857E-3</v>
      </c>
      <c r="AE56" s="39">
        <f t="shared" si="27"/>
        <v>2.7133398198120669E-2</v>
      </c>
      <c r="AF56" s="37">
        <f t="shared" si="20"/>
        <v>0.27316084097987375</v>
      </c>
      <c r="AG56" s="37">
        <f t="shared" si="37"/>
        <v>8.73017087024533E-4</v>
      </c>
      <c r="AH56" s="37">
        <f t="shared" si="38"/>
        <v>1.8298458918713453E-2</v>
      </c>
      <c r="AI56" s="40">
        <f t="shared" si="21"/>
        <v>1.9171476005737986E-2</v>
      </c>
      <c r="AJ56" s="39">
        <f t="shared" si="22"/>
        <v>1.6444483756436766E-4</v>
      </c>
      <c r="AK56" s="37">
        <f t="shared" si="39"/>
        <v>2.1265542628910537E-2</v>
      </c>
      <c r="AL56" s="37">
        <f t="shared" si="40"/>
        <v>2.6133333333333338E-3</v>
      </c>
      <c r="AM56" s="37">
        <f t="shared" si="41"/>
        <v>0.85400000000000009</v>
      </c>
      <c r="AN56" s="40">
        <f t="shared" si="23"/>
        <v>0.85661333333333345</v>
      </c>
      <c r="AO56" s="39">
        <f t="shared" si="42"/>
        <v>3.5069917171070982E-3</v>
      </c>
      <c r="AP56" s="37">
        <f t="shared" si="43"/>
        <v>2.1600000000000001E-2</v>
      </c>
      <c r="AQ56" s="40">
        <f t="shared" si="44"/>
        <v>2.2499999999999998E-3</v>
      </c>
      <c r="AR56" s="39">
        <f t="shared" si="24"/>
        <v>0.90576921844836311</v>
      </c>
      <c r="AS56" s="37">
        <f t="shared" si="25"/>
        <v>0.55533333333333335</v>
      </c>
      <c r="AT56" s="40">
        <f t="shared" si="26"/>
        <v>38.007827216244969</v>
      </c>
    </row>
    <row r="57" spans="17:46" x14ac:dyDescent="0.2">
      <c r="Q57">
        <v>50</v>
      </c>
      <c r="R57" s="39">
        <f t="shared" si="0"/>
        <v>170</v>
      </c>
      <c r="S57" s="37">
        <f t="shared" si="30"/>
        <v>3.3333333333333335E-3</v>
      </c>
      <c r="T57" s="37">
        <f t="shared" si="2"/>
        <v>5</v>
      </c>
      <c r="U57" s="40">
        <f t="shared" si="31"/>
        <v>0.13333333333333333</v>
      </c>
      <c r="V57" s="39">
        <f t="shared" si="32"/>
        <v>1</v>
      </c>
      <c r="W57" s="37">
        <f t="shared" si="33"/>
        <v>0.20976176963403032</v>
      </c>
      <c r="X57" s="40">
        <f t="shared" si="34"/>
        <v>1.2712834523274563E-3</v>
      </c>
      <c r="Y57" s="39">
        <f t="shared" si="35"/>
        <v>1.0488088481701519</v>
      </c>
      <c r="Z57" s="37">
        <f t="shared" si="28"/>
        <v>1.0488088481701519</v>
      </c>
      <c r="AA57" s="37">
        <f t="shared" si="29"/>
        <v>0.27817042641457157</v>
      </c>
      <c r="AB57" s="37">
        <v>0</v>
      </c>
      <c r="AC57" s="37">
        <f t="shared" si="36"/>
        <v>2.7082575146082605E-3</v>
      </c>
      <c r="AD57" s="40">
        <f t="shared" si="19"/>
        <v>2.7082575146082605E-3</v>
      </c>
      <c r="AE57" s="39">
        <f t="shared" si="27"/>
        <v>2.796823595120404E-2</v>
      </c>
      <c r="AF57" s="37">
        <f t="shared" si="20"/>
        <v>0.27733129802784817</v>
      </c>
      <c r="AG57" s="37">
        <f t="shared" si="37"/>
        <v>8.9987799172999044E-4</v>
      </c>
      <c r="AH57" s="37">
        <f t="shared" si="38"/>
        <v>1.8671896855830056E-2</v>
      </c>
      <c r="AI57" s="40">
        <f t="shared" si="21"/>
        <v>1.9571774847560047E-2</v>
      </c>
      <c r="AJ57" s="39">
        <f t="shared" si="22"/>
        <v>1.6950446031032752E-4</v>
      </c>
      <c r="AK57" s="37">
        <f t="shared" si="39"/>
        <v>2.1590212269762449E-2</v>
      </c>
      <c r="AL57" s="37">
        <f t="shared" si="40"/>
        <v>2.666666666666667E-3</v>
      </c>
      <c r="AM57" s="37">
        <f t="shared" si="41"/>
        <v>0.85400000000000009</v>
      </c>
      <c r="AN57" s="40">
        <f t="shared" si="23"/>
        <v>0.8566666666666668</v>
      </c>
      <c r="AO57" s="39">
        <f t="shared" si="42"/>
        <v>3.6148944966931237E-3</v>
      </c>
      <c r="AP57" s="37">
        <f t="shared" si="43"/>
        <v>2.1600000000000001E-2</v>
      </c>
      <c r="AQ57" s="40">
        <f t="shared" si="44"/>
        <v>2.2499999999999998E-3</v>
      </c>
      <c r="AR57" s="39">
        <f t="shared" si="24"/>
        <v>0.90641159352552814</v>
      </c>
      <c r="AS57" s="37">
        <f t="shared" si="25"/>
        <v>0.56666666666666665</v>
      </c>
      <c r="AT57" s="40">
        <f t="shared" si="26"/>
        <v>38.468198328630059</v>
      </c>
    </row>
    <row r="58" spans="17:46" x14ac:dyDescent="0.2">
      <c r="Q58">
        <v>51</v>
      </c>
      <c r="R58" s="39">
        <f t="shared" si="0"/>
        <v>170</v>
      </c>
      <c r="S58" s="37">
        <f t="shared" si="30"/>
        <v>3.4000000000000002E-3</v>
      </c>
      <c r="T58" s="37">
        <f t="shared" si="2"/>
        <v>5</v>
      </c>
      <c r="U58" s="40">
        <f t="shared" si="31"/>
        <v>0.13600000000000001</v>
      </c>
      <c r="V58" s="39">
        <f t="shared" si="32"/>
        <v>1</v>
      </c>
      <c r="W58" s="37">
        <f t="shared" si="33"/>
        <v>0.21184900282984576</v>
      </c>
      <c r="X58" s="40">
        <f t="shared" si="34"/>
        <v>1.2839333504839137E-3</v>
      </c>
      <c r="Y58" s="39">
        <f t="shared" si="35"/>
        <v>1.0592450141492289</v>
      </c>
      <c r="Z58" s="37">
        <f t="shared" si="28"/>
        <v>1.0592450141492289</v>
      </c>
      <c r="AA58" s="37">
        <f t="shared" si="29"/>
        <v>0.28233263738265063</v>
      </c>
      <c r="AB58" s="37">
        <v>0</v>
      </c>
      <c r="AC58" s="37">
        <f t="shared" si="36"/>
        <v>2.7899101346005152E-3</v>
      </c>
      <c r="AD58" s="40">
        <f t="shared" si="19"/>
        <v>2.7899101346005152E-3</v>
      </c>
      <c r="AE58" s="39">
        <f t="shared" si="27"/>
        <v>2.8811464384859025E-2</v>
      </c>
      <c r="AF58" s="37">
        <f t="shared" si="20"/>
        <v>0.28148095327812561</v>
      </c>
      <c r="AG58" s="37">
        <f t="shared" si="37"/>
        <v>9.2700886658283934E-4</v>
      </c>
      <c r="AH58" s="37">
        <f t="shared" si="38"/>
        <v>1.9045334792946653E-2</v>
      </c>
      <c r="AI58" s="40">
        <f t="shared" si="21"/>
        <v>1.9972343659529494E-2</v>
      </c>
      <c r="AJ58" s="39">
        <f t="shared" si="22"/>
        <v>1.7461493566581229E-4</v>
      </c>
      <c r="AK58" s="37">
        <f t="shared" si="39"/>
        <v>2.1913262492859974E-2</v>
      </c>
      <c r="AL58" s="37">
        <f t="shared" si="40"/>
        <v>2.7200000000000002E-3</v>
      </c>
      <c r="AM58" s="37">
        <f t="shared" si="41"/>
        <v>0.85400000000000009</v>
      </c>
      <c r="AN58" s="40">
        <f t="shared" si="23"/>
        <v>0.85672000000000015</v>
      </c>
      <c r="AO58" s="39">
        <f t="shared" si="42"/>
        <v>3.7238817717430298E-3</v>
      </c>
      <c r="AP58" s="37">
        <f t="shared" si="43"/>
        <v>2.1600000000000001E-2</v>
      </c>
      <c r="AQ58" s="40">
        <f t="shared" si="44"/>
        <v>2.2499999999999998E-3</v>
      </c>
      <c r="AR58" s="39">
        <f t="shared" si="24"/>
        <v>0.90705613556587306</v>
      </c>
      <c r="AS58" s="37">
        <f t="shared" si="25"/>
        <v>0.57800000000000007</v>
      </c>
      <c r="AT58" s="40">
        <f t="shared" si="26"/>
        <v>38.921087638195985</v>
      </c>
    </row>
    <row r="59" spans="17:46" x14ac:dyDescent="0.2">
      <c r="Q59">
        <v>52</v>
      </c>
      <c r="R59" s="39">
        <f t="shared" si="0"/>
        <v>170</v>
      </c>
      <c r="S59" s="37">
        <f t="shared" si="30"/>
        <v>3.4666666666666669E-3</v>
      </c>
      <c r="T59" s="37">
        <f t="shared" si="2"/>
        <v>5</v>
      </c>
      <c r="U59" s="40">
        <f t="shared" si="31"/>
        <v>0.13866666666666669</v>
      </c>
      <c r="V59" s="39">
        <f t="shared" si="32"/>
        <v>1</v>
      </c>
      <c r="W59" s="37">
        <f t="shared" si="33"/>
        <v>0.213915871313935</v>
      </c>
      <c r="X59" s="40">
        <f t="shared" si="34"/>
        <v>1.2964598261450606E-3</v>
      </c>
      <c r="Y59" s="39">
        <f t="shared" si="35"/>
        <v>1.0695793565696752</v>
      </c>
      <c r="Z59" s="37">
        <f t="shared" si="28"/>
        <v>1.0695793565696752</v>
      </c>
      <c r="AA59" s="37">
        <f t="shared" si="29"/>
        <v>0.28647449381765894</v>
      </c>
      <c r="AB59" s="37">
        <v>0</v>
      </c>
      <c r="AC59" s="37">
        <f t="shared" si="36"/>
        <v>2.872367246282937E-3</v>
      </c>
      <c r="AD59" s="40">
        <f t="shared" si="19"/>
        <v>2.872367246282937E-3</v>
      </c>
      <c r="AE59" s="39">
        <f t="shared" si="27"/>
        <v>2.9663000822198991E-2</v>
      </c>
      <c r="AF59" s="37">
        <f t="shared" si="20"/>
        <v>0.28561031539677839</v>
      </c>
      <c r="AG59" s="37">
        <f t="shared" si="37"/>
        <v>9.5440705145425253E-4</v>
      </c>
      <c r="AH59" s="37">
        <f t="shared" si="38"/>
        <v>1.9418772730063261E-2</v>
      </c>
      <c r="AI59" s="40">
        <f t="shared" si="21"/>
        <v>2.0373179781517512E-2</v>
      </c>
      <c r="AJ59" s="39">
        <f t="shared" si="22"/>
        <v>1.7977576255878176E-4</v>
      </c>
      <c r="AK59" s="37">
        <f t="shared" si="39"/>
        <v>2.2234732897803155E-2</v>
      </c>
      <c r="AL59" s="37">
        <f t="shared" si="40"/>
        <v>2.7733333333333338E-3</v>
      </c>
      <c r="AM59" s="37">
        <f t="shared" si="41"/>
        <v>0.85400000000000009</v>
      </c>
      <c r="AN59" s="40">
        <f t="shared" si="23"/>
        <v>0.85677333333333339</v>
      </c>
      <c r="AO59" s="39">
        <f t="shared" si="42"/>
        <v>3.8339428562692195E-3</v>
      </c>
      <c r="AP59" s="37">
        <f t="shared" si="43"/>
        <v>2.1600000000000001E-2</v>
      </c>
      <c r="AQ59" s="40">
        <f t="shared" si="44"/>
        <v>2.2499999999999998E-3</v>
      </c>
      <c r="AR59" s="39">
        <f t="shared" si="24"/>
        <v>0.90770282321740303</v>
      </c>
      <c r="AS59" s="37">
        <f t="shared" si="25"/>
        <v>0.58933333333333338</v>
      </c>
      <c r="AT59" s="40">
        <f t="shared" si="26"/>
        <v>39.366673326794839</v>
      </c>
    </row>
    <row r="60" spans="17:46" x14ac:dyDescent="0.2">
      <c r="Q60">
        <v>53</v>
      </c>
      <c r="R60" s="39">
        <f t="shared" si="0"/>
        <v>170</v>
      </c>
      <c r="S60" s="37">
        <f t="shared" si="30"/>
        <v>3.5333333333333336E-3</v>
      </c>
      <c r="T60" s="37">
        <f t="shared" si="2"/>
        <v>5</v>
      </c>
      <c r="U60" s="40">
        <f t="shared" si="31"/>
        <v>0.14133333333333334</v>
      </c>
      <c r="V60" s="39">
        <f t="shared" si="32"/>
        <v>1</v>
      </c>
      <c r="W60" s="37">
        <f t="shared" si="33"/>
        <v>0.2159629597870894</v>
      </c>
      <c r="X60" s="40">
        <f t="shared" si="34"/>
        <v>1.308866422952057E-3</v>
      </c>
      <c r="Y60" s="39">
        <f t="shared" si="35"/>
        <v>1.0798147989354472</v>
      </c>
      <c r="Z60" s="37">
        <f t="shared" si="28"/>
        <v>1.0798147989354472</v>
      </c>
      <c r="AA60" s="37">
        <f t="shared" si="29"/>
        <v>0.29059648389757936</v>
      </c>
      <c r="AB60" s="37">
        <v>0</v>
      </c>
      <c r="AC60" s="37">
        <f t="shared" si="36"/>
        <v>2.9556210758772635E-3</v>
      </c>
      <c r="AD60" s="40">
        <f t="shared" si="19"/>
        <v>2.9556210758772635E-3</v>
      </c>
      <c r="AE60" s="39">
        <f t="shared" si="27"/>
        <v>3.0522764983241971E-2</v>
      </c>
      <c r="AF60" s="37">
        <f t="shared" si="20"/>
        <v>0.28971987108915298</v>
      </c>
      <c r="AG60" s="37">
        <f t="shared" si="37"/>
        <v>9.8206996333581056E-4</v>
      </c>
      <c r="AH60" s="37">
        <f t="shared" si="38"/>
        <v>1.9792210667179854E-2</v>
      </c>
      <c r="AI60" s="40">
        <f t="shared" si="21"/>
        <v>2.0774280630515663E-2</v>
      </c>
      <c r="AJ60" s="39">
        <f t="shared" si="22"/>
        <v>1.8498645444389072E-4</v>
      </c>
      <c r="AK60" s="37">
        <f t="shared" si="39"/>
        <v>2.2554661374551817E-2</v>
      </c>
      <c r="AL60" s="37">
        <f t="shared" si="40"/>
        <v>2.826666666666667E-3</v>
      </c>
      <c r="AM60" s="37">
        <f t="shared" si="41"/>
        <v>0.85400000000000009</v>
      </c>
      <c r="AN60" s="40">
        <f t="shared" si="23"/>
        <v>0.85682666666666674</v>
      </c>
      <c r="AO60" s="39">
        <f t="shared" si="42"/>
        <v>3.9450673740840251E-3</v>
      </c>
      <c r="AP60" s="37">
        <f t="shared" si="43"/>
        <v>2.1600000000000001E-2</v>
      </c>
      <c r="AQ60" s="40">
        <f t="shared" si="44"/>
        <v>2.2499999999999998E-3</v>
      </c>
      <c r="AR60" s="39">
        <f t="shared" si="24"/>
        <v>0.90835163574714362</v>
      </c>
      <c r="AS60" s="37">
        <f t="shared" si="25"/>
        <v>0.60066666666666668</v>
      </c>
      <c r="AT60" s="40">
        <f t="shared" si="26"/>
        <v>39.805127989888959</v>
      </c>
    </row>
    <row r="61" spans="17:46" x14ac:dyDescent="0.2">
      <c r="Q61">
        <v>54</v>
      </c>
      <c r="R61" s="39">
        <f t="shared" si="0"/>
        <v>170</v>
      </c>
      <c r="S61" s="37">
        <f t="shared" si="30"/>
        <v>3.6000000000000003E-3</v>
      </c>
      <c r="T61" s="37">
        <f t="shared" si="2"/>
        <v>5</v>
      </c>
      <c r="U61" s="40">
        <f t="shared" si="31"/>
        <v>0.14400000000000002</v>
      </c>
      <c r="V61" s="39">
        <f t="shared" si="32"/>
        <v>1</v>
      </c>
      <c r="W61" s="37">
        <f t="shared" si="33"/>
        <v>0.21799082549501939</v>
      </c>
      <c r="X61" s="40">
        <f t="shared" si="34"/>
        <v>1.3211565181516325E-3</v>
      </c>
      <c r="Y61" s="39">
        <f t="shared" si="35"/>
        <v>1.0899541274750972</v>
      </c>
      <c r="Z61" s="37">
        <f t="shared" si="28"/>
        <v>1.0899541274750972</v>
      </c>
      <c r="AA61" s="37">
        <f t="shared" si="29"/>
        <v>0.29469907512107285</v>
      </c>
      <c r="AB61" s="37">
        <v>0</v>
      </c>
      <c r="AC61" s="37">
        <f t="shared" si="36"/>
        <v>3.0396640707025511E-3</v>
      </c>
      <c r="AD61" s="40">
        <f t="shared" si="19"/>
        <v>3.0396640707025511E-3</v>
      </c>
      <c r="AE61" s="39">
        <f t="shared" si="27"/>
        <v>3.1390678871282794E-2</v>
      </c>
      <c r="AF61" s="37">
        <f t="shared" si="20"/>
        <v>0.29381008644365442</v>
      </c>
      <c r="AG61" s="37">
        <f t="shared" si="37"/>
        <v>1.0099950926835239E-3</v>
      </c>
      <c r="AH61" s="37">
        <f t="shared" si="38"/>
        <v>2.0165648604296461E-2</v>
      </c>
      <c r="AI61" s="40">
        <f t="shared" si="21"/>
        <v>2.1175643696979985E-2</v>
      </c>
      <c r="AJ61" s="39">
        <f t="shared" si="22"/>
        <v>1.902465386138351E-4</v>
      </c>
      <c r="AK61" s="37">
        <f t="shared" si="39"/>
        <v>2.2873084208039081E-2</v>
      </c>
      <c r="AL61" s="37">
        <f t="shared" si="40"/>
        <v>2.8800000000000006E-3</v>
      </c>
      <c r="AM61" s="37">
        <f t="shared" si="41"/>
        <v>0.85400000000000009</v>
      </c>
      <c r="AN61" s="40">
        <f t="shared" si="23"/>
        <v>0.85688000000000009</v>
      </c>
      <c r="AO61" s="39">
        <f t="shared" si="42"/>
        <v>4.0572452441133009E-3</v>
      </c>
      <c r="AP61" s="37">
        <f t="shared" si="43"/>
        <v>2.1600000000000001E-2</v>
      </c>
      <c r="AQ61" s="40">
        <f t="shared" si="44"/>
        <v>2.2499999999999998E-3</v>
      </c>
      <c r="AR61" s="39">
        <f t="shared" si="24"/>
        <v>0.90900255301179589</v>
      </c>
      <c r="AS61" s="37">
        <f t="shared" si="25"/>
        <v>0.6120000000000001</v>
      </c>
      <c r="AT61" s="40">
        <f t="shared" si="26"/>
        <v>40.236618853016068</v>
      </c>
    </row>
    <row r="62" spans="17:46" x14ac:dyDescent="0.2">
      <c r="Q62">
        <v>55</v>
      </c>
      <c r="R62" s="39">
        <f t="shared" si="0"/>
        <v>170</v>
      </c>
      <c r="S62" s="37">
        <f t="shared" si="30"/>
        <v>3.666666666666667E-3</v>
      </c>
      <c r="T62" s="37">
        <f t="shared" si="2"/>
        <v>5</v>
      </c>
      <c r="U62" s="40">
        <f t="shared" si="31"/>
        <v>0.1466666666666667</v>
      </c>
      <c r="V62" s="39">
        <f t="shared" si="32"/>
        <v>1</v>
      </c>
      <c r="W62" s="37">
        <f t="shared" si="33"/>
        <v>0.22</v>
      </c>
      <c r="X62" s="40">
        <f t="shared" si="34"/>
        <v>1.3333333333333331E-3</v>
      </c>
      <c r="Y62" s="39">
        <f t="shared" si="35"/>
        <v>1.1000000000000003</v>
      </c>
      <c r="Z62" s="37">
        <f t="shared" si="28"/>
        <v>1.1000000000000003</v>
      </c>
      <c r="AA62" s="37">
        <f t="shared" si="29"/>
        <v>0.29878271554946273</v>
      </c>
      <c r="AB62" s="37">
        <v>0</v>
      </c>
      <c r="AC62" s="37">
        <f t="shared" si="36"/>
        <v>3.1244888888888908E-3</v>
      </c>
      <c r="AD62" s="40">
        <f t="shared" si="19"/>
        <v>3.1244888888888908E-3</v>
      </c>
      <c r="AE62" s="39">
        <f t="shared" si="27"/>
        <v>3.2266666666666673E-2</v>
      </c>
      <c r="AF62" s="37">
        <f t="shared" si="20"/>
        <v>0.29788140816998532</v>
      </c>
      <c r="AG62" s="37">
        <f t="shared" si="37"/>
        <v>1.0381800000000007E-3</v>
      </c>
      <c r="AH62" s="37">
        <f t="shared" si="38"/>
        <v>2.0539086541413058E-2</v>
      </c>
      <c r="AI62" s="40">
        <f t="shared" si="21"/>
        <v>2.1577266541413058E-2</v>
      </c>
      <c r="AJ62" s="39">
        <f t="shared" si="22"/>
        <v>1.9555555555555556E-4</v>
      </c>
      <c r="AK62" s="37">
        <f t="shared" si="39"/>
        <v>2.3190036174568118E-2</v>
      </c>
      <c r="AL62" s="37">
        <f t="shared" si="40"/>
        <v>2.9333333333333338E-3</v>
      </c>
      <c r="AM62" s="37">
        <f t="shared" si="41"/>
        <v>0.85400000000000009</v>
      </c>
      <c r="AN62" s="40">
        <f t="shared" si="23"/>
        <v>0.85693333333333344</v>
      </c>
      <c r="AO62" s="39">
        <f t="shared" si="42"/>
        <v>4.1704666666666701E-3</v>
      </c>
      <c r="AP62" s="37">
        <f t="shared" si="43"/>
        <v>2.1600000000000001E-2</v>
      </c>
      <c r="AQ62" s="40">
        <f t="shared" si="44"/>
        <v>2.2499999999999998E-3</v>
      </c>
      <c r="AR62" s="39">
        <f t="shared" si="24"/>
        <v>0.90965555543030197</v>
      </c>
      <c r="AS62" s="37">
        <f t="shared" si="25"/>
        <v>0.62333333333333341</v>
      </c>
      <c r="AT62" s="40">
        <f t="shared" si="26"/>
        <v>40.66130797830214</v>
      </c>
    </row>
    <row r="63" spans="17:46" x14ac:dyDescent="0.2">
      <c r="Q63">
        <v>56</v>
      </c>
      <c r="R63" s="39">
        <f t="shared" si="0"/>
        <v>170</v>
      </c>
      <c r="S63" s="37">
        <f t="shared" si="30"/>
        <v>3.7333333333333333E-3</v>
      </c>
      <c r="T63" s="37">
        <f t="shared" si="2"/>
        <v>5</v>
      </c>
      <c r="U63" s="40">
        <f t="shared" si="31"/>
        <v>0.14933333333333335</v>
      </c>
      <c r="V63" s="39">
        <f t="shared" si="32"/>
        <v>1</v>
      </c>
      <c r="W63" s="37">
        <f t="shared" si="33"/>
        <v>0.22199099080818571</v>
      </c>
      <c r="X63" s="40">
        <f t="shared" si="34"/>
        <v>1.3453999442920345E-3</v>
      </c>
      <c r="Y63" s="39">
        <f t="shared" si="35"/>
        <v>1.1099549540409288</v>
      </c>
      <c r="Z63" s="37">
        <f t="shared" si="28"/>
        <v>1.1099549540409288</v>
      </c>
      <c r="AA63" s="37">
        <f t="shared" si="29"/>
        <v>0.30284783495294171</v>
      </c>
      <c r="AB63" s="37">
        <v>0</v>
      </c>
      <c r="AC63" s="37">
        <f t="shared" si="36"/>
        <v>3.2100883897489482E-3</v>
      </c>
      <c r="AD63" s="40">
        <f t="shared" si="19"/>
        <v>3.2100883897489482E-3</v>
      </c>
      <c r="AE63" s="39">
        <f t="shared" si="27"/>
        <v>3.3150654627355738E-2</v>
      </c>
      <c r="AF63" s="37">
        <f t="shared" si="20"/>
        <v>0.30193426474189428</v>
      </c>
      <c r="AG63" s="37">
        <f t="shared" si="37"/>
        <v>1.0666223126351711E-3</v>
      </c>
      <c r="AH63" s="37">
        <f t="shared" si="38"/>
        <v>2.0912524478529662E-2</v>
      </c>
      <c r="AI63" s="40">
        <f t="shared" si="21"/>
        <v>2.1979146791164833E-2</v>
      </c>
      <c r="AJ63" s="39">
        <f t="shared" si="22"/>
        <v>2.0091305834761051E-4</v>
      </c>
      <c r="AK63" s="37">
        <f t="shared" si="39"/>
        <v>2.3505550630775043E-2</v>
      </c>
      <c r="AL63" s="37">
        <f t="shared" si="40"/>
        <v>2.986666666666667E-3</v>
      </c>
      <c r="AM63" s="37">
        <f t="shared" si="41"/>
        <v>0.85400000000000009</v>
      </c>
      <c r="AN63" s="40">
        <f t="shared" si="23"/>
        <v>0.85698666666666679</v>
      </c>
      <c r="AO63" s="39">
        <f t="shared" si="42"/>
        <v>4.2847221105857302E-3</v>
      </c>
      <c r="AP63" s="37">
        <f t="shared" si="43"/>
        <v>2.1600000000000001E-2</v>
      </c>
      <c r="AQ63" s="40">
        <f t="shared" si="44"/>
        <v>2.2499999999999998E-3</v>
      </c>
      <c r="AR63" s="39">
        <f t="shared" si="24"/>
        <v>0.9103106239581662</v>
      </c>
      <c r="AS63" s="37">
        <f t="shared" si="25"/>
        <v>0.63466666666666671</v>
      </c>
      <c r="AT63" s="40">
        <f t="shared" si="26"/>
        <v>41.079352461549092</v>
      </c>
    </row>
    <row r="64" spans="17:46" x14ac:dyDescent="0.2">
      <c r="Q64">
        <v>57</v>
      </c>
      <c r="R64" s="39">
        <f t="shared" si="0"/>
        <v>170</v>
      </c>
      <c r="S64" s="37">
        <f t="shared" si="30"/>
        <v>3.8E-3</v>
      </c>
      <c r="T64" s="37">
        <f t="shared" si="2"/>
        <v>5</v>
      </c>
      <c r="U64" s="40">
        <f t="shared" si="31"/>
        <v>0.152</v>
      </c>
      <c r="V64" s="39">
        <f t="shared" si="32"/>
        <v>1</v>
      </c>
      <c r="W64" s="37">
        <f t="shared" si="33"/>
        <v>0.22396428286671066</v>
      </c>
      <c r="X64" s="40">
        <f t="shared" si="34"/>
        <v>1.3573592901012766E-3</v>
      </c>
      <c r="Y64" s="39">
        <f t="shared" si="35"/>
        <v>1.1198214143335534</v>
      </c>
      <c r="Z64" s="37">
        <f t="shared" si="28"/>
        <v>1.1198214143335534</v>
      </c>
      <c r="AA64" s="37">
        <f t="shared" si="29"/>
        <v>0.30689484586996141</v>
      </c>
      <c r="AB64" s="37">
        <v>0</v>
      </c>
      <c r="AC64" s="37">
        <f t="shared" si="36"/>
        <v>3.2964556247541583E-3</v>
      </c>
      <c r="AD64" s="40">
        <f t="shared" si="19"/>
        <v>3.2964556247541583E-3</v>
      </c>
      <c r="AE64" s="39">
        <f t="shared" si="27"/>
        <v>3.4042570995740019E-2</v>
      </c>
      <c r="AF64" s="37">
        <f t="shared" si="20"/>
        <v>0.30596906745337027</v>
      </c>
      <c r="AG64" s="37">
        <f t="shared" si="37"/>
        <v>1.095319721787935E-3</v>
      </c>
      <c r="AH64" s="37">
        <f t="shared" si="38"/>
        <v>2.1285962415646259E-2</v>
      </c>
      <c r="AI64" s="40">
        <f t="shared" si="21"/>
        <v>2.2381282137434195E-2</v>
      </c>
      <c r="AJ64" s="39">
        <f t="shared" si="22"/>
        <v>2.0631861209539405E-4</v>
      </c>
      <c r="AK64" s="37">
        <f t="shared" si="39"/>
        <v>2.3819659595853457E-2</v>
      </c>
      <c r="AL64" s="37">
        <f t="shared" si="40"/>
        <v>3.0400000000000002E-3</v>
      </c>
      <c r="AM64" s="37">
        <f t="shared" si="41"/>
        <v>0.85400000000000009</v>
      </c>
      <c r="AN64" s="40">
        <f t="shared" si="23"/>
        <v>0.85704000000000014</v>
      </c>
      <c r="AO64" s="39">
        <f t="shared" si="42"/>
        <v>4.4000023011993971E-3</v>
      </c>
      <c r="AP64" s="37">
        <f t="shared" si="43"/>
        <v>2.1600000000000001E-2</v>
      </c>
      <c r="AQ64" s="40">
        <f t="shared" si="44"/>
        <v>2.2499999999999998E-3</v>
      </c>
      <c r="AR64" s="39">
        <f t="shared" si="24"/>
        <v>0.91096774006338777</v>
      </c>
      <c r="AS64" s="37">
        <f t="shared" si="25"/>
        <v>0.64600000000000002</v>
      </c>
      <c r="AT64" s="40">
        <f t="shared" si="26"/>
        <v>41.490904620393735</v>
      </c>
    </row>
    <row r="65" spans="17:46" x14ac:dyDescent="0.2">
      <c r="Q65">
        <v>58</v>
      </c>
      <c r="R65" s="39">
        <f t="shared" si="0"/>
        <v>170</v>
      </c>
      <c r="S65" s="37">
        <f t="shared" si="30"/>
        <v>3.8666666666666667E-3</v>
      </c>
      <c r="T65" s="37">
        <f t="shared" si="2"/>
        <v>5</v>
      </c>
      <c r="U65" s="40">
        <f t="shared" si="31"/>
        <v>0.15466666666666667</v>
      </c>
      <c r="V65" s="39">
        <f t="shared" si="32"/>
        <v>1</v>
      </c>
      <c r="W65" s="37">
        <f t="shared" si="33"/>
        <v>0.225920339943087</v>
      </c>
      <c r="X65" s="40">
        <f t="shared" si="34"/>
        <v>1.3692141814732543E-3</v>
      </c>
      <c r="Y65" s="39">
        <f t="shared" si="35"/>
        <v>1.1296016997154352</v>
      </c>
      <c r="Z65" s="37">
        <f t="shared" si="28"/>
        <v>1.1296016997154352</v>
      </c>
      <c r="AA65" s="37">
        <f t="shared" si="29"/>
        <v>0.31092414458778583</v>
      </c>
      <c r="AB65" s="37">
        <v>0</v>
      </c>
      <c r="AC65" s="37">
        <f t="shared" si="36"/>
        <v>3.3835838290676226E-3</v>
      </c>
      <c r="AD65" s="40">
        <f t="shared" si="19"/>
        <v>3.3835838290676226E-3</v>
      </c>
      <c r="AE65" s="39">
        <f t="shared" si="27"/>
        <v>3.4942345911197457E-2</v>
      </c>
      <c r="AF65" s="37">
        <f t="shared" si="20"/>
        <v>0.30998621139623783</v>
      </c>
      <c r="AG65" s="37">
        <f t="shared" si="37"/>
        <v>1.1242699796927787E-3</v>
      </c>
      <c r="AH65" s="37">
        <f t="shared" si="38"/>
        <v>2.1659400352762863E-2</v>
      </c>
      <c r="AI65" s="40">
        <f t="shared" si="21"/>
        <v>2.2783670332455642E-2</v>
      </c>
      <c r="AJ65" s="39">
        <f t="shared" si="22"/>
        <v>2.1177179340119669E-4</v>
      </c>
      <c r="AK65" s="37">
        <f t="shared" si="39"/>
        <v>2.4132393827660175E-2</v>
      </c>
      <c r="AL65" s="37">
        <f t="shared" si="40"/>
        <v>3.0933333333333334E-3</v>
      </c>
      <c r="AM65" s="37">
        <f t="shared" si="41"/>
        <v>0.85400000000000009</v>
      </c>
      <c r="AN65" s="40">
        <f t="shared" si="23"/>
        <v>0.85709333333333337</v>
      </c>
      <c r="AO65" s="39">
        <f t="shared" si="42"/>
        <v>4.5162982090222736E-3</v>
      </c>
      <c r="AP65" s="37">
        <f t="shared" si="43"/>
        <v>2.1600000000000001E-2</v>
      </c>
      <c r="AQ65" s="40">
        <f t="shared" si="44"/>
        <v>2.2499999999999998E-3</v>
      </c>
      <c r="AR65" s="39">
        <f t="shared" si="24"/>
        <v>0.91162688570387884</v>
      </c>
      <c r="AS65" s="37">
        <f t="shared" si="25"/>
        <v>0.65733333333333333</v>
      </c>
      <c r="AT65" s="40">
        <f t="shared" si="26"/>
        <v>41.896112174004266</v>
      </c>
    </row>
    <row r="66" spans="17:46" x14ac:dyDescent="0.2">
      <c r="Q66">
        <v>59</v>
      </c>
      <c r="R66" s="39">
        <f t="shared" si="0"/>
        <v>170</v>
      </c>
      <c r="S66" s="37">
        <f t="shared" si="30"/>
        <v>3.9333333333333338E-3</v>
      </c>
      <c r="T66" s="37">
        <f t="shared" si="2"/>
        <v>5</v>
      </c>
      <c r="U66" s="40">
        <f t="shared" si="31"/>
        <v>0.15733333333333335</v>
      </c>
      <c r="V66" s="39">
        <f t="shared" si="32"/>
        <v>1</v>
      </c>
      <c r="W66" s="37">
        <f t="shared" si="33"/>
        <v>0.22785960589801785</v>
      </c>
      <c r="X66" s="40">
        <f t="shared" si="34"/>
        <v>1.3809673084728355E-3</v>
      </c>
      <c r="Y66" s="39">
        <f t="shared" si="35"/>
        <v>1.1392980294900894</v>
      </c>
      <c r="Z66" s="37">
        <f t="shared" si="28"/>
        <v>1.1392980294900894</v>
      </c>
      <c r="AA66" s="37">
        <f t="shared" si="29"/>
        <v>0.31493611205133076</v>
      </c>
      <c r="AB66" s="37">
        <v>0</v>
      </c>
      <c r="AC66" s="37">
        <f t="shared" si="36"/>
        <v>3.471466413590293E-3</v>
      </c>
      <c r="AD66" s="40">
        <f t="shared" si="19"/>
        <v>3.471466413590293E-3</v>
      </c>
      <c r="AE66" s="39">
        <f t="shared" si="27"/>
        <v>3.5849911327954814E-2</v>
      </c>
      <c r="AF66" s="37">
        <f t="shared" si="20"/>
        <v>0.31398607636625514</v>
      </c>
      <c r="AG66" s="37">
        <f t="shared" si="37"/>
        <v>1.1534708969769469E-3</v>
      </c>
      <c r="AH66" s="37">
        <f t="shared" si="38"/>
        <v>2.2032838289879463E-2</v>
      </c>
      <c r="AI66" s="40">
        <f t="shared" si="21"/>
        <v>2.3186309186856411E-2</v>
      </c>
      <c r="AJ66" s="39">
        <f t="shared" si="22"/>
        <v>2.1727218986639281E-4</v>
      </c>
      <c r="AK66" s="37">
        <f t="shared" si="39"/>
        <v>2.4443782893254891E-2</v>
      </c>
      <c r="AL66" s="37">
        <f t="shared" si="40"/>
        <v>3.1466666666666674E-3</v>
      </c>
      <c r="AM66" s="37">
        <f t="shared" si="41"/>
        <v>0.85400000000000009</v>
      </c>
      <c r="AN66" s="40">
        <f t="shared" si="23"/>
        <v>0.85714666666666672</v>
      </c>
      <c r="AO66" s="39">
        <f t="shared" si="42"/>
        <v>4.6336010391381625E-3</v>
      </c>
      <c r="AP66" s="37">
        <f t="shared" si="43"/>
        <v>2.1600000000000001E-2</v>
      </c>
      <c r="AQ66" s="40">
        <f t="shared" si="44"/>
        <v>2.2499999999999998E-3</v>
      </c>
      <c r="AR66" s="39">
        <f t="shared" si="24"/>
        <v>0.91228804330625146</v>
      </c>
      <c r="AS66" s="37">
        <f t="shared" si="25"/>
        <v>0.66866666666666674</v>
      </c>
      <c r="AT66" s="40">
        <f t="shared" si="26"/>
        <v>42.295118414753382</v>
      </c>
    </row>
    <row r="67" spans="17:46" x14ac:dyDescent="0.2">
      <c r="Q67">
        <v>60</v>
      </c>
      <c r="R67" s="39">
        <f t="shared" si="0"/>
        <v>170</v>
      </c>
      <c r="S67" s="37">
        <f t="shared" si="30"/>
        <v>4.0000000000000001E-3</v>
      </c>
      <c r="T67" s="37">
        <f t="shared" si="2"/>
        <v>5</v>
      </c>
      <c r="U67" s="40">
        <f t="shared" si="31"/>
        <v>0.16</v>
      </c>
      <c r="V67" s="39">
        <f t="shared" si="32"/>
        <v>1</v>
      </c>
      <c r="W67" s="37">
        <f t="shared" si="33"/>
        <v>0.22978250586152113</v>
      </c>
      <c r="X67" s="40">
        <f t="shared" si="34"/>
        <v>1.3926212476455823E-3</v>
      </c>
      <c r="Y67" s="39">
        <f t="shared" si="35"/>
        <v>1.1489125293076059</v>
      </c>
      <c r="Z67" s="37">
        <f t="shared" si="28"/>
        <v>1.1489125293076059</v>
      </c>
      <c r="AA67" s="37">
        <f t="shared" si="29"/>
        <v>0.31893111470666108</v>
      </c>
      <c r="AB67" s="37">
        <v>0</v>
      </c>
      <c r="AC67" s="37">
        <f t="shared" si="36"/>
        <v>3.5600969574811694E-3</v>
      </c>
      <c r="AD67" s="40">
        <f t="shared" si="19"/>
        <v>3.5600969574811694E-3</v>
      </c>
      <c r="AE67" s="39">
        <f t="shared" si="27"/>
        <v>3.6765200937843384E-2</v>
      </c>
      <c r="AF67" s="37">
        <f t="shared" si="20"/>
        <v>0.31796902770406632</v>
      </c>
      <c r="AG67" s="37">
        <f t="shared" si="37"/>
        <v>1.1829203401751108E-3</v>
      </c>
      <c r="AH67" s="37">
        <f t="shared" si="38"/>
        <v>2.2406276226996064E-2</v>
      </c>
      <c r="AI67" s="40">
        <f t="shared" si="21"/>
        <v>2.3589196567171174E-2</v>
      </c>
      <c r="AJ67" s="39">
        <f t="shared" si="22"/>
        <v>2.2281939962329319E-4</v>
      </c>
      <c r="AK67" s="37">
        <f t="shared" si="39"/>
        <v>2.4753855234368169E-2</v>
      </c>
      <c r="AL67" s="37">
        <f t="shared" si="40"/>
        <v>3.2000000000000002E-3</v>
      </c>
      <c r="AM67" s="37">
        <f t="shared" si="41"/>
        <v>0.85400000000000009</v>
      </c>
      <c r="AN67" s="40">
        <f t="shared" si="23"/>
        <v>0.85720000000000007</v>
      </c>
      <c r="AO67" s="39">
        <f t="shared" si="42"/>
        <v>4.7519022212162568E-3</v>
      </c>
      <c r="AP67" s="37">
        <f t="shared" si="43"/>
        <v>2.1600000000000001E-2</v>
      </c>
      <c r="AQ67" s="40">
        <f t="shared" si="44"/>
        <v>2.2499999999999998E-3</v>
      </c>
      <c r="AR67" s="39">
        <f t="shared" si="24"/>
        <v>0.91295119574586858</v>
      </c>
      <c r="AS67" s="37">
        <f t="shared" si="25"/>
        <v>0.68</v>
      </c>
      <c r="AT67" s="40">
        <f t="shared" si="26"/>
        <v>42.688062372281479</v>
      </c>
    </row>
    <row r="68" spans="17:46" x14ac:dyDescent="0.2">
      <c r="Q68">
        <v>61</v>
      </c>
      <c r="R68" s="39">
        <f t="shared" si="0"/>
        <v>170</v>
      </c>
      <c r="S68" s="37">
        <f t="shared" si="30"/>
        <v>4.0666666666666672E-3</v>
      </c>
      <c r="T68" s="37">
        <f t="shared" si="2"/>
        <v>5</v>
      </c>
      <c r="U68" s="40">
        <f t="shared" si="31"/>
        <v>0.16266666666666671</v>
      </c>
      <c r="V68" s="39">
        <f t="shared" si="32"/>
        <v>1</v>
      </c>
      <c r="W68" s="37">
        <f t="shared" si="33"/>
        <v>0.23168944732119326</v>
      </c>
      <c r="X68" s="40">
        <f t="shared" si="34"/>
        <v>1.4041784686132923E-3</v>
      </c>
      <c r="Y68" s="39">
        <f t="shared" si="35"/>
        <v>1.1584472366059666</v>
      </c>
      <c r="Z68" s="37">
        <f t="shared" si="28"/>
        <v>1.1584472366059666</v>
      </c>
      <c r="AA68" s="37">
        <f t="shared" si="29"/>
        <v>0.32290950528485041</v>
      </c>
      <c r="AB68" s="37">
        <v>0</v>
      </c>
      <c r="AC68" s="37">
        <f t="shared" si="36"/>
        <v>3.6494692011157398E-3</v>
      </c>
      <c r="AD68" s="40">
        <f t="shared" si="19"/>
        <v>3.6494692011157398E-3</v>
      </c>
      <c r="AE68" s="39">
        <f t="shared" si="27"/>
        <v>3.768815009758078E-2</v>
      </c>
      <c r="AF68" s="37">
        <f t="shared" si="20"/>
        <v>0.32193541707669743</v>
      </c>
      <c r="AG68" s="37">
        <f t="shared" si="37"/>
        <v>1.2126162293896615E-3</v>
      </c>
      <c r="AH68" s="37">
        <f t="shared" si="38"/>
        <v>2.2779714164112667E-2</v>
      </c>
      <c r="AI68" s="40">
        <f t="shared" si="21"/>
        <v>2.3992330393502327E-2</v>
      </c>
      <c r="AJ68" s="39">
        <f t="shared" si="22"/>
        <v>2.2841303089442895E-4</v>
      </c>
      <c r="AK68" s="37">
        <f t="shared" si="39"/>
        <v>2.5062638228240851E-2</v>
      </c>
      <c r="AL68" s="37">
        <f t="shared" si="40"/>
        <v>3.2533333333333338E-3</v>
      </c>
      <c r="AM68" s="37">
        <f t="shared" si="41"/>
        <v>0.85400000000000009</v>
      </c>
      <c r="AN68" s="40">
        <f t="shared" si="23"/>
        <v>0.85725333333333342</v>
      </c>
      <c r="AO68" s="39">
        <f t="shared" si="42"/>
        <v>4.871193400112315E-3</v>
      </c>
      <c r="AP68" s="37">
        <f t="shared" si="43"/>
        <v>2.1600000000000001E-2</v>
      </c>
      <c r="AQ68" s="40">
        <f t="shared" si="44"/>
        <v>2.2499999999999998E-3</v>
      </c>
      <c r="AR68" s="39">
        <f t="shared" si="24"/>
        <v>0.91361632632806378</v>
      </c>
      <c r="AS68" s="37">
        <f t="shared" si="25"/>
        <v>0.69133333333333347</v>
      </c>
      <c r="AT68" s="40">
        <f t="shared" si="26"/>
        <v>43.075078970338978</v>
      </c>
    </row>
    <row r="69" spans="17:46" x14ac:dyDescent="0.2">
      <c r="Q69">
        <v>62</v>
      </c>
      <c r="R69" s="39">
        <f t="shared" si="0"/>
        <v>170</v>
      </c>
      <c r="S69" s="37">
        <f t="shared" si="30"/>
        <v>4.1333333333333335E-3</v>
      </c>
      <c r="T69" s="37">
        <f t="shared" si="2"/>
        <v>5</v>
      </c>
      <c r="U69" s="40">
        <f t="shared" si="31"/>
        <v>0.16533333333333333</v>
      </c>
      <c r="V69" s="39">
        <f t="shared" si="32"/>
        <v>1</v>
      </c>
      <c r="W69" s="37">
        <f t="shared" si="33"/>
        <v>0.23358082113050294</v>
      </c>
      <c r="X69" s="40">
        <f t="shared" si="34"/>
        <v>1.4156413401848662E-3</v>
      </c>
      <c r="Y69" s="39">
        <f t="shared" si="35"/>
        <v>1.167904105652515</v>
      </c>
      <c r="Z69" s="37">
        <f t="shared" si="28"/>
        <v>1.167904105652515</v>
      </c>
      <c r="AA69" s="37">
        <f t="shared" si="29"/>
        <v>0.32687162353132787</v>
      </c>
      <c r="AB69" s="37">
        <v>0</v>
      </c>
      <c r="AC69" s="37">
        <f t="shared" si="36"/>
        <v>3.7395770394502152E-3</v>
      </c>
      <c r="AD69" s="40">
        <f t="shared" si="19"/>
        <v>3.7395770394502152E-3</v>
      </c>
      <c r="AE69" s="39">
        <f t="shared" si="27"/>
        <v>3.8618695760243155E-2</v>
      </c>
      <c r="AF69" s="37">
        <f t="shared" si="20"/>
        <v>0.32588558320470201</v>
      </c>
      <c r="AG69" s="37">
        <f t="shared" si="37"/>
        <v>1.2425565360858245E-3</v>
      </c>
      <c r="AH69" s="37">
        <f t="shared" si="38"/>
        <v>2.3153152101229264E-2</v>
      </c>
      <c r="AI69" s="40">
        <f t="shared" si="21"/>
        <v>2.4395708637315088E-2</v>
      </c>
      <c r="AJ69" s="39">
        <f t="shared" si="22"/>
        <v>2.3405270157723121E-4</v>
      </c>
      <c r="AK69" s="37">
        <f t="shared" si="39"/>
        <v>2.5370158244232263E-2</v>
      </c>
      <c r="AL69" s="37">
        <f t="shared" si="40"/>
        <v>3.306666666666667E-3</v>
      </c>
      <c r="AM69" s="37">
        <f t="shared" si="41"/>
        <v>0.85400000000000009</v>
      </c>
      <c r="AN69" s="40">
        <f t="shared" si="23"/>
        <v>0.85730666666666677</v>
      </c>
      <c r="AO69" s="39">
        <f t="shared" si="42"/>
        <v>4.9914664270114314E-3</v>
      </c>
      <c r="AP69" s="37">
        <f t="shared" si="43"/>
        <v>2.1600000000000001E-2</v>
      </c>
      <c r="AQ69" s="40">
        <f t="shared" si="44"/>
        <v>2.2499999999999998E-3</v>
      </c>
      <c r="AR69" s="39">
        <f t="shared" si="24"/>
        <v>0.9142834187704435</v>
      </c>
      <c r="AS69" s="37">
        <f t="shared" si="25"/>
        <v>0.70266666666666666</v>
      </c>
      <c r="AT69" s="40">
        <f t="shared" si="26"/>
        <v>43.45629917677482</v>
      </c>
    </row>
    <row r="70" spans="17:46" x14ac:dyDescent="0.2">
      <c r="Q70">
        <v>63</v>
      </c>
      <c r="R70" s="39">
        <f t="shared" si="0"/>
        <v>170</v>
      </c>
      <c r="S70" s="37">
        <f t="shared" si="30"/>
        <v>4.2000000000000006E-3</v>
      </c>
      <c r="T70" s="37">
        <f t="shared" si="2"/>
        <v>5</v>
      </c>
      <c r="U70" s="40">
        <f t="shared" si="31"/>
        <v>0.16800000000000001</v>
      </c>
      <c r="V70" s="39">
        <f t="shared" si="32"/>
        <v>1</v>
      </c>
      <c r="W70" s="37">
        <f t="shared" si="33"/>
        <v>0.23545700244418299</v>
      </c>
      <c r="X70" s="40">
        <f t="shared" si="34"/>
        <v>1.4270121360253512E-3</v>
      </c>
      <c r="Y70" s="39">
        <f t="shared" si="35"/>
        <v>1.1772850122209151</v>
      </c>
      <c r="Z70" s="37">
        <f t="shared" si="28"/>
        <v>1.1772850122209151</v>
      </c>
      <c r="AA70" s="37">
        <f t="shared" si="29"/>
        <v>0.33081779688531915</v>
      </c>
      <c r="AB70" s="37">
        <v>0</v>
      </c>
      <c r="AC70" s="37">
        <f t="shared" si="36"/>
        <v>3.8304145157619699E-3</v>
      </c>
      <c r="AD70" s="40">
        <f t="shared" si="19"/>
        <v>3.8304145157619699E-3</v>
      </c>
      <c r="AE70" s="39">
        <f t="shared" si="27"/>
        <v>3.9556776410622746E-2</v>
      </c>
      <c r="AF70" s="37">
        <f t="shared" si="20"/>
        <v>0.32981985253955315</v>
      </c>
      <c r="AG70" s="37">
        <f t="shared" si="37"/>
        <v>1.2727392810117874E-3</v>
      </c>
      <c r="AH70" s="37">
        <f t="shared" si="38"/>
        <v>2.3526590038345865E-2</v>
      </c>
      <c r="AI70" s="40">
        <f t="shared" si="21"/>
        <v>2.4799329319357653E-2</v>
      </c>
      <c r="AJ70" s="39">
        <f t="shared" si="22"/>
        <v>2.3973803885225903E-4</v>
      </c>
      <c r="AK70" s="37">
        <f t="shared" si="39"/>
        <v>2.5676440696555128E-2</v>
      </c>
      <c r="AL70" s="37">
        <f t="shared" si="40"/>
        <v>3.3600000000000006E-3</v>
      </c>
      <c r="AM70" s="37">
        <f t="shared" si="41"/>
        <v>0.85400000000000009</v>
      </c>
      <c r="AN70" s="40">
        <f t="shared" si="23"/>
        <v>0.85736000000000012</v>
      </c>
      <c r="AO70" s="39">
        <f t="shared" si="42"/>
        <v>5.1127133510729915E-3</v>
      </c>
      <c r="AP70" s="37">
        <f t="shared" si="43"/>
        <v>2.1600000000000001E-2</v>
      </c>
      <c r="AQ70" s="40">
        <f t="shared" si="44"/>
        <v>2.2499999999999998E-3</v>
      </c>
      <c r="AR70" s="39">
        <f t="shared" si="24"/>
        <v>0.91495245718619267</v>
      </c>
      <c r="AS70" s="37">
        <f t="shared" si="25"/>
        <v>0.71400000000000008</v>
      </c>
      <c r="AT70" s="40">
        <f t="shared" si="26"/>
        <v>43.831850147016802</v>
      </c>
    </row>
    <row r="71" spans="17:46" x14ac:dyDescent="0.2">
      <c r="Q71">
        <v>64</v>
      </c>
      <c r="R71" s="39">
        <f t="shared" ref="R71:R134" si="45">VOUT</f>
        <v>170</v>
      </c>
      <c r="S71" s="37">
        <f t="shared" ref="S71:S102" si="46">Q71*$O$12</f>
        <v>4.2666666666666669E-3</v>
      </c>
      <c r="T71" s="37">
        <f t="shared" ref="T71:T134" si="47">VIN_var</f>
        <v>5</v>
      </c>
      <c r="U71" s="40">
        <f t="shared" ref="U71:U102" si="48">(R71*S71)/(T71*EFF_est)</f>
        <v>0.17066666666666669</v>
      </c>
      <c r="V71" s="39">
        <f t="shared" ref="V71:V102" si="49">IF((S71*R71/T71)&lt;((T71*(1-(T71/R71)))/(2*Lm*Fsw)),1,2)</f>
        <v>1</v>
      </c>
      <c r="W71" s="37">
        <f t="shared" ref="W71:W102" si="50">CHOOSE(V71,SQRT((2*S71*Lm*Fsw*(R71-T71))/((T71)^2)),1-(T71/R71))</f>
        <v>0.23731835158706124</v>
      </c>
      <c r="X71" s="40">
        <f t="shared" ref="X71:X102" si="51">CHOOSE(V71,(Lm*W71*Fsw)/(R71-T71),1-W71)</f>
        <v>1.4382930399215832E-3</v>
      </c>
      <c r="Y71" s="39">
        <f t="shared" ref="Y71:Y102" si="52">(T71*W71)/(Lm*Fsw)</f>
        <v>1.1865917579353065</v>
      </c>
      <c r="Z71" s="37">
        <f t="shared" si="28"/>
        <v>1.1865917579353065</v>
      </c>
      <c r="AA71" s="37">
        <f t="shared" si="29"/>
        <v>0.33474834111353569</v>
      </c>
      <c r="AB71" s="37">
        <v>0</v>
      </c>
      <c r="AC71" s="37">
        <f t="shared" ref="AC71:AC102" si="53">(AA71^2)*Rdcr</f>
        <v>3.9219758157392421E-3</v>
      </c>
      <c r="AD71" s="40">
        <f t="shared" si="19"/>
        <v>3.9219758157392421E-3</v>
      </c>
      <c r="AE71" s="39">
        <f t="shared" si="27"/>
        <v>4.0502332004191788E-2</v>
      </c>
      <c r="AF71" s="37">
        <f t="shared" si="20"/>
        <v>0.3337385398954209</v>
      </c>
      <c r="AG71" s="37">
        <f t="shared" ref="AG71:AG102" si="54">(AF71^2)*RDS_on</f>
        <v>1.303162532234871E-3</v>
      </c>
      <c r="AH71" s="37">
        <f t="shared" ref="AH71:AH102" si="55">((R71*U71)/2)*Fsw*(tr_sw+tf_sw)</f>
        <v>2.3900027975462469E-2</v>
      </c>
      <c r="AI71" s="40">
        <f t="shared" si="21"/>
        <v>2.5203190507697339E-2</v>
      </c>
      <c r="AJ71" s="39">
        <f t="shared" si="22"/>
        <v>2.4546867881328357E-4</v>
      </c>
      <c r="AK71" s="37">
        <f t="shared" ref="AK71:AK102" si="56">CHOOSE(V71,Z71*SQRT(X71/3),SQRT(X71*((Z71^2)+((Y71^2)/3)-(Y71*Z71))))</f>
        <v>2.5981510093459351E-2</v>
      </c>
      <c r="AL71" s="37">
        <f t="shared" ref="AL71:AL102" si="57">S71*Vd_rect</f>
        <v>3.4133333333333338E-3</v>
      </c>
      <c r="AM71" s="37">
        <f t="shared" ref="AM71:AM102" si="58">CHOOSE(V71,(R71+Vd_rect)*Qrr*Fsw,(R71+Vd_rect)*Qrr*Fsw)</f>
        <v>0.85400000000000009</v>
      </c>
      <c r="AN71" s="40">
        <f t="shared" si="23"/>
        <v>0.85741333333333347</v>
      </c>
      <c r="AO71" s="39">
        <f t="shared" ref="AO71:AO102" si="59">(AF71^2)*R_cs</f>
        <v>5.2349264115417902E-3</v>
      </c>
      <c r="AP71" s="37">
        <f t="shared" ref="AP71:AP102" si="60">Qg_tot*Vcc*Fsw</f>
        <v>2.1600000000000001E-2</v>
      </c>
      <c r="AQ71" s="40">
        <f t="shared" ref="AQ71:AQ102" si="61">IQ*T71</f>
        <v>2.2499999999999998E-3</v>
      </c>
      <c r="AR71" s="39">
        <f t="shared" si="24"/>
        <v>0.91562342606831182</v>
      </c>
      <c r="AS71" s="37">
        <f t="shared" si="25"/>
        <v>0.72533333333333339</v>
      </c>
      <c r="AT71" s="40">
        <f t="shared" si="26"/>
        <v>44.201855361369624</v>
      </c>
    </row>
    <row r="72" spans="17:46" x14ac:dyDescent="0.2">
      <c r="Q72">
        <v>65</v>
      </c>
      <c r="R72" s="39">
        <f t="shared" si="45"/>
        <v>170</v>
      </c>
      <c r="S72" s="37">
        <f t="shared" si="46"/>
        <v>4.3333333333333331E-3</v>
      </c>
      <c r="T72" s="37">
        <f t="shared" si="47"/>
        <v>5</v>
      </c>
      <c r="U72" s="40">
        <f t="shared" si="48"/>
        <v>0.17333333333333331</v>
      </c>
      <c r="V72" s="39">
        <f t="shared" si="49"/>
        <v>1</v>
      </c>
      <c r="W72" s="37">
        <f t="shared" si="50"/>
        <v>0.23916521486202794</v>
      </c>
      <c r="X72" s="40">
        <f t="shared" si="51"/>
        <v>1.4494861506789572E-3</v>
      </c>
      <c r="Y72" s="39">
        <f t="shared" si="52"/>
        <v>1.1958260743101399</v>
      </c>
      <c r="Z72" s="37">
        <f t="shared" si="28"/>
        <v>1.1958260743101399</v>
      </c>
      <c r="AA72" s="37">
        <f t="shared" si="29"/>
        <v>0.33866356090185379</v>
      </c>
      <c r="AB72" s="37">
        <v>0</v>
      </c>
      <c r="AC72" s="37">
        <f t="shared" si="53"/>
        <v>4.014255261895327E-3</v>
      </c>
      <c r="AD72" s="40">
        <f t="shared" ref="AD72:AD135" si="62">AB72+AC72</f>
        <v>4.014255261895327E-3</v>
      </c>
      <c r="AE72" s="39">
        <f t="shared" si="27"/>
        <v>4.1455303909418172E-2</v>
      </c>
      <c r="AF72" s="37">
        <f t="shared" ref="AF72:AF135" si="63">CHOOSE(V72,Z72*SQRT(W72/3),SQRT(W72*((Z72^2)+((Y72^2)/3)-(Z72*Y72))))</f>
        <v>0.33764194903906714</v>
      </c>
      <c r="AG72" s="37">
        <f t="shared" si="54"/>
        <v>1.3338244032855301E-3</v>
      </c>
      <c r="AH72" s="37">
        <f t="shared" si="55"/>
        <v>2.4273465912579062E-2</v>
      </c>
      <c r="AI72" s="40">
        <f t="shared" ref="AI72:AI135" si="64">AG72+AH72</f>
        <v>2.5607290315864593E-2</v>
      </c>
      <c r="AJ72" s="39">
        <f t="shared" ref="AJ72:AJ135" si="65">X72*U72</f>
        <v>2.5124426611768591E-4</v>
      </c>
      <c r="AK72" s="37">
        <f t="shared" si="56"/>
        <v>2.6285390083155249E-2</v>
      </c>
      <c r="AL72" s="37">
        <f t="shared" si="57"/>
        <v>3.4666666666666665E-3</v>
      </c>
      <c r="AM72" s="37">
        <f t="shared" si="58"/>
        <v>0.85400000000000009</v>
      </c>
      <c r="AN72" s="40">
        <f t="shared" ref="AN72:AN135" si="66">AL72+AM72</f>
        <v>0.85746666666666671</v>
      </c>
      <c r="AO72" s="39">
        <f t="shared" si="59"/>
        <v>5.3580980302923003E-3</v>
      </c>
      <c r="AP72" s="37">
        <f t="shared" si="60"/>
        <v>2.1600000000000001E-2</v>
      </c>
      <c r="AQ72" s="40">
        <f t="shared" si="61"/>
        <v>2.2499999999999998E-3</v>
      </c>
      <c r="AR72" s="39">
        <f t="shared" ref="AR72:AR135" si="67">AO72+AN72+AI72+AD72+AP72+AQ72</f>
        <v>0.91629631027471892</v>
      </c>
      <c r="AS72" s="37">
        <f t="shared" ref="AS72:AS135" si="68">R72*S72</f>
        <v>0.73666666666666658</v>
      </c>
      <c r="AT72" s="40">
        <f t="shared" ref="AT72:AT135" si="69">(AS72/(AS72+AR72))*100</f>
        <v>44.566434756438525</v>
      </c>
    </row>
    <row r="73" spans="17:46" x14ac:dyDescent="0.2">
      <c r="Q73">
        <v>66</v>
      </c>
      <c r="R73" s="39">
        <f t="shared" si="45"/>
        <v>170</v>
      </c>
      <c r="S73" s="37">
        <f t="shared" si="46"/>
        <v>4.4000000000000003E-3</v>
      </c>
      <c r="T73" s="37">
        <f t="shared" si="47"/>
        <v>5</v>
      </c>
      <c r="U73" s="40">
        <f t="shared" si="48"/>
        <v>0.17599999999999999</v>
      </c>
      <c r="V73" s="39">
        <f t="shared" si="49"/>
        <v>1</v>
      </c>
      <c r="W73" s="37">
        <f t="shared" si="50"/>
        <v>0.24099792530227307</v>
      </c>
      <c r="X73" s="40">
        <f t="shared" si="51"/>
        <v>1.4605934866804427E-3</v>
      </c>
      <c r="Y73" s="39">
        <f t="shared" si="52"/>
        <v>1.2049896265113655</v>
      </c>
      <c r="Z73" s="37">
        <f t="shared" si="28"/>
        <v>1.2049896265113655</v>
      </c>
      <c r="AA73" s="37">
        <f t="shared" si="29"/>
        <v>0.34256375040837805</v>
      </c>
      <c r="AB73" s="37">
        <v>0</v>
      </c>
      <c r="AC73" s="37">
        <f t="shared" si="53"/>
        <v>4.1072473082848738E-3</v>
      </c>
      <c r="AD73" s="40">
        <f t="shared" si="62"/>
        <v>4.1072473082848738E-3</v>
      </c>
      <c r="AE73" s="39">
        <f t="shared" ref="AE73:AE136" si="70">U73*W73</f>
        <v>4.241563485320006E-2</v>
      </c>
      <c r="AF73" s="37">
        <f t="shared" si="63"/>
        <v>0.34153037324123925</v>
      </c>
      <c r="AG73" s="37">
        <f t="shared" si="54"/>
        <v>1.3647230514017123E-3</v>
      </c>
      <c r="AH73" s="37">
        <f t="shared" si="55"/>
        <v>2.4646903849695669E-2</v>
      </c>
      <c r="AI73" s="40">
        <f t="shared" si="64"/>
        <v>2.601162690109738E-2</v>
      </c>
      <c r="AJ73" s="39">
        <f t="shared" si="65"/>
        <v>2.5706445365575792E-4</v>
      </c>
      <c r="AK73" s="37">
        <f t="shared" si="56"/>
        <v>2.6588103496739561E-2</v>
      </c>
      <c r="AL73" s="37">
        <f t="shared" si="57"/>
        <v>3.5200000000000006E-3</v>
      </c>
      <c r="AM73" s="37">
        <f t="shared" si="58"/>
        <v>0.85400000000000009</v>
      </c>
      <c r="AN73" s="40">
        <f t="shared" si="66"/>
        <v>0.85752000000000006</v>
      </c>
      <c r="AO73" s="39">
        <f t="shared" si="59"/>
        <v>5.4822208047761089E-3</v>
      </c>
      <c r="AP73" s="37">
        <f t="shared" si="60"/>
        <v>2.1600000000000001E-2</v>
      </c>
      <c r="AQ73" s="40">
        <f t="shared" si="61"/>
        <v>2.2499999999999998E-3</v>
      </c>
      <c r="AR73" s="39">
        <f t="shared" si="67"/>
        <v>0.9169710950141583</v>
      </c>
      <c r="AS73" s="37">
        <f t="shared" si="68"/>
        <v>0.748</v>
      </c>
      <c r="AT73" s="40">
        <f t="shared" si="69"/>
        <v>44.925704850968557</v>
      </c>
    </row>
    <row r="74" spans="17:46" x14ac:dyDescent="0.2">
      <c r="Q74">
        <v>67</v>
      </c>
      <c r="R74" s="39">
        <f t="shared" si="45"/>
        <v>170</v>
      </c>
      <c r="S74" s="37">
        <f t="shared" si="46"/>
        <v>4.4666666666666665E-3</v>
      </c>
      <c r="T74" s="37">
        <f t="shared" si="47"/>
        <v>5</v>
      </c>
      <c r="U74" s="40">
        <f t="shared" si="48"/>
        <v>0.17866666666666667</v>
      </c>
      <c r="V74" s="39">
        <f t="shared" si="49"/>
        <v>1</v>
      </c>
      <c r="W74" s="37">
        <f t="shared" si="50"/>
        <v>0.24281680337241901</v>
      </c>
      <c r="X74" s="40">
        <f t="shared" si="51"/>
        <v>1.4716169901358726E-3</v>
      </c>
      <c r="Y74" s="39">
        <f t="shared" si="52"/>
        <v>1.2140840168620952</v>
      </c>
      <c r="Z74" s="37">
        <f t="shared" si="28"/>
        <v>1.2140840168620952</v>
      </c>
      <c r="AA74" s="37">
        <f t="shared" si="29"/>
        <v>0.34644919378094768</v>
      </c>
      <c r="AB74" s="37">
        <v>0</v>
      </c>
      <c r="AC74" s="37">
        <f t="shared" si="53"/>
        <v>4.2009465355014024E-3</v>
      </c>
      <c r="AD74" s="40">
        <f t="shared" si="62"/>
        <v>4.2009465355014024E-3</v>
      </c>
      <c r="AE74" s="39">
        <f t="shared" si="70"/>
        <v>4.338326886920553E-2</v>
      </c>
      <c r="AF74" s="37">
        <f t="shared" si="63"/>
        <v>0.34540409579261683</v>
      </c>
      <c r="AG74" s="37">
        <f t="shared" si="54"/>
        <v>1.3958566758666881E-3</v>
      </c>
      <c r="AH74" s="37">
        <f t="shared" si="55"/>
        <v>2.5020341786812273E-2</v>
      </c>
      <c r="AI74" s="40">
        <f t="shared" si="64"/>
        <v>2.6416198462678959E-2</v>
      </c>
      <c r="AJ74" s="39">
        <f t="shared" si="65"/>
        <v>2.6292890223760922E-4</v>
      </c>
      <c r="AK74" s="37">
        <f t="shared" si="56"/>
        <v>2.6889672388361773E-2</v>
      </c>
      <c r="AL74" s="37">
        <f t="shared" si="57"/>
        <v>3.5733333333333333E-3</v>
      </c>
      <c r="AM74" s="37">
        <f t="shared" si="58"/>
        <v>0.85400000000000009</v>
      </c>
      <c r="AN74" s="40">
        <f t="shared" si="66"/>
        <v>0.85757333333333341</v>
      </c>
      <c r="AO74" s="39">
        <f t="shared" si="59"/>
        <v>5.6072875013448154E-3</v>
      </c>
      <c r="AP74" s="37">
        <f t="shared" si="60"/>
        <v>2.1600000000000001E-2</v>
      </c>
      <c r="AQ74" s="40">
        <f t="shared" si="61"/>
        <v>2.2499999999999998E-3</v>
      </c>
      <c r="AR74" s="39">
        <f t="shared" si="67"/>
        <v>0.91764776583285845</v>
      </c>
      <c r="AS74" s="37">
        <f t="shared" si="68"/>
        <v>0.7593333333333333</v>
      </c>
      <c r="AT74" s="40">
        <f t="shared" si="69"/>
        <v>45.279778866373618</v>
      </c>
    </row>
    <row r="75" spans="17:46" x14ac:dyDescent="0.2">
      <c r="Q75">
        <v>68</v>
      </c>
      <c r="R75" s="39">
        <f t="shared" si="45"/>
        <v>170</v>
      </c>
      <c r="S75" s="37">
        <f t="shared" si="46"/>
        <v>4.5333333333333337E-3</v>
      </c>
      <c r="T75" s="37">
        <f t="shared" si="47"/>
        <v>5</v>
      </c>
      <c r="U75" s="40">
        <f t="shared" si="48"/>
        <v>0.18133333333333335</v>
      </c>
      <c r="V75" s="39">
        <f t="shared" si="49"/>
        <v>1</v>
      </c>
      <c r="W75" s="37">
        <f t="shared" si="50"/>
        <v>0.24462215762273049</v>
      </c>
      <c r="X75" s="40">
        <f t="shared" si="51"/>
        <v>1.4825585310468512E-3</v>
      </c>
      <c r="Y75" s="39">
        <f t="shared" si="52"/>
        <v>1.2231107881136527</v>
      </c>
      <c r="Z75" s="37">
        <f t="shared" si="28"/>
        <v>1.2231107881136527</v>
      </c>
      <c r="AA75" s="37">
        <f t="shared" si="29"/>
        <v>0.35032016564187446</v>
      </c>
      <c r="AB75" s="37">
        <v>0</v>
      </c>
      <c r="AC75" s="37">
        <f t="shared" si="53"/>
        <v>4.2953476459372635E-3</v>
      </c>
      <c r="AD75" s="40">
        <f t="shared" si="62"/>
        <v>4.2953476459372635E-3</v>
      </c>
      <c r="AE75" s="39">
        <f t="shared" si="70"/>
        <v>4.4358151248921798E-2</v>
      </c>
      <c r="AF75" s="37">
        <f t="shared" si="63"/>
        <v>0.34926339048708638</v>
      </c>
      <c r="AG75" s="37">
        <f t="shared" si="54"/>
        <v>1.4272235164340592E-3</v>
      </c>
      <c r="AH75" s="37">
        <f t="shared" si="55"/>
        <v>2.5393779723928873E-2</v>
      </c>
      <c r="AI75" s="40">
        <f t="shared" si="64"/>
        <v>2.6821003240362934E-2</v>
      </c>
      <c r="AJ75" s="39">
        <f t="shared" si="65"/>
        <v>2.6883728029649572E-4</v>
      </c>
      <c r="AK75" s="37">
        <f t="shared" si="56"/>
        <v>2.7190118072847047E-2</v>
      </c>
      <c r="AL75" s="37">
        <f t="shared" si="57"/>
        <v>3.6266666666666669E-3</v>
      </c>
      <c r="AM75" s="37">
        <f t="shared" si="58"/>
        <v>0.85400000000000009</v>
      </c>
      <c r="AN75" s="40">
        <f t="shared" si="66"/>
        <v>0.85762666666666676</v>
      </c>
      <c r="AO75" s="39">
        <f t="shared" si="59"/>
        <v>5.7332910489231439E-3</v>
      </c>
      <c r="AP75" s="37">
        <f t="shared" si="60"/>
        <v>2.1600000000000001E-2</v>
      </c>
      <c r="AQ75" s="40">
        <f t="shared" si="61"/>
        <v>2.2499999999999998E-3</v>
      </c>
      <c r="AR75" s="39">
        <f t="shared" si="67"/>
        <v>0.91832630860189013</v>
      </c>
      <c r="AS75" s="37">
        <f t="shared" si="68"/>
        <v>0.77066666666666672</v>
      </c>
      <c r="AT75" s="40">
        <f t="shared" si="69"/>
        <v>45.628766842214226</v>
      </c>
    </row>
    <row r="76" spans="17:46" x14ac:dyDescent="0.2">
      <c r="Q76">
        <v>69</v>
      </c>
      <c r="R76" s="39">
        <f t="shared" si="45"/>
        <v>170</v>
      </c>
      <c r="S76" s="37">
        <f t="shared" si="46"/>
        <v>4.5999999999999999E-3</v>
      </c>
      <c r="T76" s="37">
        <f t="shared" si="47"/>
        <v>5</v>
      </c>
      <c r="U76" s="40">
        <f t="shared" si="48"/>
        <v>0.184</v>
      </c>
      <c r="V76" s="39">
        <f t="shared" si="49"/>
        <v>1</v>
      </c>
      <c r="W76" s="37">
        <f t="shared" si="50"/>
        <v>0.24641428530018303</v>
      </c>
      <c r="X76" s="40">
        <f t="shared" si="51"/>
        <v>1.4934199109102001E-3</v>
      </c>
      <c r="Y76" s="39">
        <f t="shared" si="52"/>
        <v>1.2320714265009154</v>
      </c>
      <c r="Z76" s="37">
        <f t="shared" si="28"/>
        <v>1.2320714265009154</v>
      </c>
      <c r="AA76" s="37">
        <f t="shared" si="29"/>
        <v>0.35417693154243296</v>
      </c>
      <c r="AB76" s="37">
        <v>0</v>
      </c>
      <c r="AC76" s="37">
        <f t="shared" si="53"/>
        <v>4.3904454592884638E-3</v>
      </c>
      <c r="AD76" s="40">
        <f t="shared" si="62"/>
        <v>4.3904454592884638E-3</v>
      </c>
      <c r="AE76" s="39">
        <f t="shared" si="70"/>
        <v>4.5340228495233677E-2</v>
      </c>
      <c r="AF76" s="37">
        <f t="shared" si="63"/>
        <v>0.3531085220748611</v>
      </c>
      <c r="AG76" s="37">
        <f t="shared" si="54"/>
        <v>1.4588218518341441E-3</v>
      </c>
      <c r="AH76" s="37">
        <f t="shared" si="55"/>
        <v>2.5767217661045474E-2</v>
      </c>
      <c r="AI76" s="40">
        <f t="shared" si="64"/>
        <v>2.7226039512879618E-2</v>
      </c>
      <c r="AJ76" s="39">
        <f t="shared" si="65"/>
        <v>2.7478926360747683E-4</v>
      </c>
      <c r="AK76" s="37">
        <f t="shared" si="56"/>
        <v>2.7489461160971517E-2</v>
      </c>
      <c r="AL76" s="37">
        <f t="shared" si="57"/>
        <v>3.6800000000000001E-3</v>
      </c>
      <c r="AM76" s="37">
        <f t="shared" si="58"/>
        <v>0.85400000000000009</v>
      </c>
      <c r="AN76" s="40">
        <f t="shared" si="66"/>
        <v>0.85768000000000011</v>
      </c>
      <c r="AO76" s="39">
        <f t="shared" si="59"/>
        <v>5.8602245330089554E-3</v>
      </c>
      <c r="AP76" s="37">
        <f t="shared" si="60"/>
        <v>2.1600000000000001E-2</v>
      </c>
      <c r="AQ76" s="40">
        <f t="shared" si="61"/>
        <v>2.2499999999999998E-3</v>
      </c>
      <c r="AR76" s="39">
        <f t="shared" si="67"/>
        <v>0.91900670950517704</v>
      </c>
      <c r="AS76" s="37">
        <f t="shared" si="68"/>
        <v>0.78200000000000003</v>
      </c>
      <c r="AT76" s="40">
        <f t="shared" si="69"/>
        <v>45.972775746868386</v>
      </c>
    </row>
    <row r="77" spans="17:46" x14ac:dyDescent="0.2">
      <c r="Q77">
        <v>70</v>
      </c>
      <c r="R77" s="39">
        <f t="shared" si="45"/>
        <v>170</v>
      </c>
      <c r="S77" s="37">
        <f t="shared" si="46"/>
        <v>4.6666666666666671E-3</v>
      </c>
      <c r="T77" s="37">
        <f t="shared" si="47"/>
        <v>5</v>
      </c>
      <c r="U77" s="40">
        <f t="shared" si="48"/>
        <v>0.1866666666666667</v>
      </c>
      <c r="V77" s="39">
        <f t="shared" si="49"/>
        <v>1</v>
      </c>
      <c r="W77" s="37">
        <f t="shared" si="50"/>
        <v>0.24819347291981714</v>
      </c>
      <c r="X77" s="40">
        <f t="shared" si="51"/>
        <v>1.5042028661807097E-3</v>
      </c>
      <c r="Y77" s="39">
        <f t="shared" si="52"/>
        <v>1.240967364599086</v>
      </c>
      <c r="Z77" s="37">
        <f t="shared" si="28"/>
        <v>1.240967364599086</v>
      </c>
      <c r="AA77" s="37">
        <f t="shared" si="29"/>
        <v>0.3580197483894042</v>
      </c>
      <c r="AB77" s="37">
        <v>0</v>
      </c>
      <c r="AC77" s="37">
        <f t="shared" si="53"/>
        <v>4.4862349082884301E-3</v>
      </c>
      <c r="AD77" s="40">
        <f t="shared" si="62"/>
        <v>4.4862349082884301E-3</v>
      </c>
      <c r="AE77" s="39">
        <f t="shared" si="70"/>
        <v>4.6329448278365874E-2</v>
      </c>
      <c r="AF77" s="37">
        <f t="shared" si="63"/>
        <v>0.35693974668773748</v>
      </c>
      <c r="AG77" s="37">
        <f t="shared" si="54"/>
        <v>1.4906499983564224E-3</v>
      </c>
      <c r="AH77" s="37">
        <f t="shared" si="55"/>
        <v>2.6140655598162078E-2</v>
      </c>
      <c r="AI77" s="40">
        <f t="shared" si="64"/>
        <v>2.76313055965185E-2</v>
      </c>
      <c r="AJ77" s="39">
        <f t="shared" si="65"/>
        <v>2.807845350203992E-4</v>
      </c>
      <c r="AK77" s="37">
        <f t="shared" si="56"/>
        <v>2.7787721592568506E-2</v>
      </c>
      <c r="AL77" s="37">
        <f t="shared" si="57"/>
        <v>3.7333333333333337E-3</v>
      </c>
      <c r="AM77" s="37">
        <f t="shared" si="58"/>
        <v>0.85400000000000009</v>
      </c>
      <c r="AN77" s="40">
        <f t="shared" si="66"/>
        <v>0.85773333333333346</v>
      </c>
      <c r="AO77" s="39">
        <f t="shared" si="59"/>
        <v>5.9880811899787906E-3</v>
      </c>
      <c r="AP77" s="37">
        <f t="shared" si="60"/>
        <v>2.1600000000000001E-2</v>
      </c>
      <c r="AQ77" s="40">
        <f t="shared" si="61"/>
        <v>2.2499999999999998E-3</v>
      </c>
      <c r="AR77" s="39">
        <f t="shared" si="67"/>
        <v>0.9196889550281192</v>
      </c>
      <c r="AS77" s="37">
        <f t="shared" si="68"/>
        <v>0.79333333333333345</v>
      </c>
      <c r="AT77" s="40">
        <f t="shared" si="69"/>
        <v>46.311909583626964</v>
      </c>
    </row>
    <row r="78" spans="17:46" x14ac:dyDescent="0.2">
      <c r="Q78">
        <v>71</v>
      </c>
      <c r="R78" s="39">
        <f t="shared" si="45"/>
        <v>170</v>
      </c>
      <c r="S78" s="37">
        <f t="shared" si="46"/>
        <v>4.7333333333333333E-3</v>
      </c>
      <c r="T78" s="37">
        <f t="shared" si="47"/>
        <v>5</v>
      </c>
      <c r="U78" s="40">
        <f t="shared" si="48"/>
        <v>0.18933333333333333</v>
      </c>
      <c r="V78" s="39">
        <f t="shared" si="49"/>
        <v>1</v>
      </c>
      <c r="W78" s="37">
        <f t="shared" si="50"/>
        <v>0.24995999679948788</v>
      </c>
      <c r="X78" s="40">
        <f t="shared" si="51"/>
        <v>1.5149090715120476E-3</v>
      </c>
      <c r="Y78" s="39">
        <f t="shared" si="52"/>
        <v>1.2497999839974396</v>
      </c>
      <c r="Z78" s="37">
        <f t="shared" si="28"/>
        <v>1.2497999839974396</v>
      </c>
      <c r="AA78" s="37">
        <f t="shared" si="29"/>
        <v>0.36184886484576306</v>
      </c>
      <c r="AB78" s="37">
        <v>0</v>
      </c>
      <c r="AC78" s="37">
        <f t="shared" si="53"/>
        <v>4.582711034655856E-3</v>
      </c>
      <c r="AD78" s="40">
        <f t="shared" si="62"/>
        <v>4.582711034655856E-3</v>
      </c>
      <c r="AE78" s="39">
        <f t="shared" si="70"/>
        <v>4.7325759394036368E-2</v>
      </c>
      <c r="AF78" s="37">
        <f t="shared" si="63"/>
        <v>0.3607573122385741</v>
      </c>
      <c r="AG78" s="37">
        <f t="shared" si="54"/>
        <v>1.5227063085031206E-3</v>
      </c>
      <c r="AH78" s="37">
        <f t="shared" si="55"/>
        <v>2.6514093535278675E-2</v>
      </c>
      <c r="AI78" s="40">
        <f t="shared" si="64"/>
        <v>2.8036799843781796E-2</v>
      </c>
      <c r="AJ78" s="39">
        <f t="shared" si="65"/>
        <v>2.8682278420628102E-4</v>
      </c>
      <c r="AK78" s="37">
        <f t="shared" si="56"/>
        <v>2.808491866762788E-2</v>
      </c>
      <c r="AL78" s="37">
        <f t="shared" si="57"/>
        <v>3.7866666666666669E-3</v>
      </c>
      <c r="AM78" s="37">
        <f t="shared" si="58"/>
        <v>0.85400000000000009</v>
      </c>
      <c r="AN78" s="40">
        <f t="shared" si="66"/>
        <v>0.85778666666666681</v>
      </c>
      <c r="AO78" s="39">
        <f t="shared" si="59"/>
        <v>6.1168544016792026E-3</v>
      </c>
      <c r="AP78" s="37">
        <f t="shared" si="60"/>
        <v>2.1600000000000001E-2</v>
      </c>
      <c r="AQ78" s="40">
        <f t="shared" si="61"/>
        <v>2.2499999999999998E-3</v>
      </c>
      <c r="AR78" s="39">
        <f t="shared" si="67"/>
        <v>0.92037303194678366</v>
      </c>
      <c r="AS78" s="37">
        <f t="shared" si="68"/>
        <v>0.80466666666666664</v>
      </c>
      <c r="AT78" s="40">
        <f t="shared" si="69"/>
        <v>46.64626949243199</v>
      </c>
    </row>
    <row r="79" spans="17:46" x14ac:dyDescent="0.2">
      <c r="Q79">
        <v>72</v>
      </c>
      <c r="R79" s="39">
        <f t="shared" si="45"/>
        <v>170</v>
      </c>
      <c r="S79" s="37">
        <f t="shared" si="46"/>
        <v>4.8000000000000004E-3</v>
      </c>
      <c r="T79" s="37">
        <f t="shared" si="47"/>
        <v>5</v>
      </c>
      <c r="U79" s="40">
        <f t="shared" si="48"/>
        <v>0.192</v>
      </c>
      <c r="V79" s="39">
        <f t="shared" si="49"/>
        <v>1</v>
      </c>
      <c r="W79" s="37">
        <f t="shared" si="50"/>
        <v>0.25171412356083639</v>
      </c>
      <c r="X79" s="40">
        <f t="shared" si="51"/>
        <v>1.5255401427929477E-3</v>
      </c>
      <c r="Y79" s="39">
        <f t="shared" si="52"/>
        <v>1.2585706178041822</v>
      </c>
      <c r="Z79" s="37">
        <f t="shared" si="28"/>
        <v>1.2585706178041822</v>
      </c>
      <c r="AA79" s="37">
        <f t="shared" si="29"/>
        <v>0.36566452170742014</v>
      </c>
      <c r="AB79" s="37">
        <v>0</v>
      </c>
      <c r="AC79" s="37">
        <f t="shared" si="53"/>
        <v>4.6798689852430722E-3</v>
      </c>
      <c r="AD79" s="40">
        <f t="shared" si="62"/>
        <v>4.6798689852430722E-3</v>
      </c>
      <c r="AE79" s="39">
        <f t="shared" si="70"/>
        <v>4.8329111723680589E-2</v>
      </c>
      <c r="AF79" s="37">
        <f t="shared" si="63"/>
        <v>0.36456145879689711</v>
      </c>
      <c r="AG79" s="37">
        <f t="shared" si="54"/>
        <v>1.5549891697094241E-3</v>
      </c>
      <c r="AH79" s="37">
        <f t="shared" si="55"/>
        <v>2.6887531472395275E-2</v>
      </c>
      <c r="AI79" s="40">
        <f t="shared" si="64"/>
        <v>2.8442520642104698E-2</v>
      </c>
      <c r="AJ79" s="39">
        <f t="shared" si="65"/>
        <v>2.9290370741624598E-4</v>
      </c>
      <c r="AK79" s="37">
        <f t="shared" si="56"/>
        <v>2.8381071075536893E-2</v>
      </c>
      <c r="AL79" s="37">
        <f t="shared" si="57"/>
        <v>3.8400000000000005E-3</v>
      </c>
      <c r="AM79" s="37">
        <f t="shared" si="58"/>
        <v>0.85400000000000009</v>
      </c>
      <c r="AN79" s="40">
        <f t="shared" si="66"/>
        <v>0.85784000000000005</v>
      </c>
      <c r="AO79" s="39">
        <f t="shared" si="59"/>
        <v>6.2465376902857209E-3</v>
      </c>
      <c r="AP79" s="37">
        <f t="shared" si="60"/>
        <v>2.1600000000000001E-2</v>
      </c>
      <c r="AQ79" s="40">
        <f t="shared" si="61"/>
        <v>2.2499999999999998E-3</v>
      </c>
      <c r="AR79" s="39">
        <f t="shared" si="67"/>
        <v>0.9210589273176335</v>
      </c>
      <c r="AS79" s="37">
        <f t="shared" si="68"/>
        <v>0.81600000000000006</v>
      </c>
      <c r="AT79" s="40">
        <f t="shared" si="69"/>
        <v>46.975953847464879</v>
      </c>
    </row>
    <row r="80" spans="17:46" x14ac:dyDescent="0.2">
      <c r="Q80">
        <v>73</v>
      </c>
      <c r="R80" s="39">
        <f t="shared" si="45"/>
        <v>170</v>
      </c>
      <c r="S80" s="37">
        <f t="shared" si="46"/>
        <v>4.8666666666666667E-3</v>
      </c>
      <c r="T80" s="37">
        <f t="shared" si="47"/>
        <v>5</v>
      </c>
      <c r="U80" s="40">
        <f t="shared" si="48"/>
        <v>0.19466666666666668</v>
      </c>
      <c r="V80" s="39">
        <f t="shared" si="49"/>
        <v>1</v>
      </c>
      <c r="W80" s="37">
        <f t="shared" si="50"/>
        <v>0.25345611059905421</v>
      </c>
      <c r="X80" s="40">
        <f t="shared" si="51"/>
        <v>1.536097639994268E-3</v>
      </c>
      <c r="Y80" s="39">
        <f t="shared" si="52"/>
        <v>1.2672805529952713</v>
      </c>
      <c r="Z80" s="37">
        <f t="shared" ref="Z80:Z143" si="71">CHOOSE(V80,Y80,U80+(0.5*Y80))</f>
        <v>1.2672805529952713</v>
      </c>
      <c r="AA80" s="37">
        <f t="shared" ref="AA80:AA143" si="72">CHOOSE(V80,Z80*SQRT((W80+X80)/3),SQRT((U80^2)+((Y80^2)/12)))</f>
        <v>0.36946695225775922</v>
      </c>
      <c r="AB80" s="37">
        <v>0</v>
      </c>
      <c r="AC80" s="37">
        <f t="shared" si="53"/>
        <v>4.777704008372307E-3</v>
      </c>
      <c r="AD80" s="40">
        <f t="shared" si="62"/>
        <v>4.777704008372307E-3</v>
      </c>
      <c r="AE80" s="39">
        <f t="shared" si="70"/>
        <v>4.9339456196615887E-2</v>
      </c>
      <c r="AF80" s="37">
        <f t="shared" si="63"/>
        <v>0.36835241894236792</v>
      </c>
      <c r="AG80" s="37">
        <f t="shared" si="54"/>
        <v>1.5874970031261165E-3</v>
      </c>
      <c r="AH80" s="37">
        <f t="shared" si="55"/>
        <v>2.7260969409511879E-2</v>
      </c>
      <c r="AI80" s="40">
        <f t="shared" si="64"/>
        <v>2.8848466412637996E-2</v>
      </c>
      <c r="AJ80" s="39">
        <f t="shared" si="65"/>
        <v>2.9902700725221754E-4</v>
      </c>
      <c r="AK80" s="37">
        <f t="shared" si="56"/>
        <v>2.8676196922597645E-2</v>
      </c>
      <c r="AL80" s="37">
        <f t="shared" si="57"/>
        <v>3.8933333333333337E-3</v>
      </c>
      <c r="AM80" s="37">
        <f t="shared" si="58"/>
        <v>0.85400000000000009</v>
      </c>
      <c r="AN80" s="40">
        <f t="shared" si="66"/>
        <v>0.8578933333333334</v>
      </c>
      <c r="AO80" s="39">
        <f t="shared" si="59"/>
        <v>6.3771247134126047E-3</v>
      </c>
      <c r="AP80" s="37">
        <f t="shared" si="60"/>
        <v>2.1600000000000001E-2</v>
      </c>
      <c r="AQ80" s="40">
        <f t="shared" si="61"/>
        <v>2.2499999999999998E-3</v>
      </c>
      <c r="AR80" s="39">
        <f t="shared" si="67"/>
        <v>0.92174662846775623</v>
      </c>
      <c r="AS80" s="37">
        <f t="shared" si="68"/>
        <v>0.82733333333333337</v>
      </c>
      <c r="AT80" s="40">
        <f t="shared" si="69"/>
        <v>47.301058350779975</v>
      </c>
    </row>
    <row r="81" spans="17:46" x14ac:dyDescent="0.2">
      <c r="Q81">
        <v>74</v>
      </c>
      <c r="R81" s="39">
        <f t="shared" si="45"/>
        <v>170</v>
      </c>
      <c r="S81" s="37">
        <f t="shared" si="46"/>
        <v>4.9333333333333338E-3</v>
      </c>
      <c r="T81" s="37">
        <f t="shared" si="47"/>
        <v>5</v>
      </c>
      <c r="U81" s="40">
        <f t="shared" si="48"/>
        <v>0.19733333333333336</v>
      </c>
      <c r="V81" s="39">
        <f t="shared" si="49"/>
        <v>1</v>
      </c>
      <c r="W81" s="37">
        <f t="shared" si="50"/>
        <v>0.25518620652378526</v>
      </c>
      <c r="X81" s="40">
        <f t="shared" si="51"/>
        <v>1.5465830698411227E-3</v>
      </c>
      <c r="Y81" s="39">
        <f t="shared" si="52"/>
        <v>1.2759310326189266</v>
      </c>
      <c r="Z81" s="37">
        <f t="shared" si="71"/>
        <v>1.2759310326189266</v>
      </c>
      <c r="AA81" s="37">
        <f t="shared" si="72"/>
        <v>0.37325638260156774</v>
      </c>
      <c r="AB81" s="37">
        <v>0</v>
      </c>
      <c r="AC81" s="37">
        <f t="shared" si="53"/>
        <v>4.8762114503482779E-3</v>
      </c>
      <c r="AD81" s="40">
        <f t="shared" si="62"/>
        <v>4.8762114503482779E-3</v>
      </c>
      <c r="AE81" s="39">
        <f t="shared" si="70"/>
        <v>5.0356744754026968E-2</v>
      </c>
      <c r="AF81" s="37">
        <f t="shared" si="63"/>
        <v>0.37213041809770697</v>
      </c>
      <c r="AG81" s="37">
        <f t="shared" si="54"/>
        <v>1.6202282624608181E-3</v>
      </c>
      <c r="AH81" s="37">
        <f t="shared" si="55"/>
        <v>2.7634407346628483E-2</v>
      </c>
      <c r="AI81" s="40">
        <f t="shared" si="64"/>
        <v>2.9254635609089301E-2</v>
      </c>
      <c r="AJ81" s="39">
        <f t="shared" si="65"/>
        <v>3.0519239244864826E-4</v>
      </c>
      <c r="AK81" s="37">
        <f t="shared" si="56"/>
        <v>2.8970313757945097E-2</v>
      </c>
      <c r="AL81" s="37">
        <f t="shared" si="57"/>
        <v>3.9466666666666669E-3</v>
      </c>
      <c r="AM81" s="37">
        <f t="shared" si="58"/>
        <v>0.85400000000000009</v>
      </c>
      <c r="AN81" s="40">
        <f t="shared" si="66"/>
        <v>0.85794666666666675</v>
      </c>
      <c r="AO81" s="39">
        <f t="shared" si="59"/>
        <v>6.5086092594579875E-3</v>
      </c>
      <c r="AP81" s="37">
        <f t="shared" si="60"/>
        <v>2.1600000000000001E-2</v>
      </c>
      <c r="AQ81" s="40">
        <f t="shared" si="61"/>
        <v>2.2499999999999998E-3</v>
      </c>
      <c r="AR81" s="39">
        <f t="shared" si="67"/>
        <v>0.92243612298556221</v>
      </c>
      <c r="AS81" s="37">
        <f t="shared" si="68"/>
        <v>0.83866666666666678</v>
      </c>
      <c r="AT81" s="40">
        <f t="shared" si="69"/>
        <v>47.621676122168942</v>
      </c>
    </row>
    <row r="82" spans="17:46" x14ac:dyDescent="0.2">
      <c r="Q82">
        <v>75</v>
      </c>
      <c r="R82" s="39">
        <f t="shared" si="45"/>
        <v>170</v>
      </c>
      <c r="S82" s="37">
        <f t="shared" si="46"/>
        <v>5.0000000000000001E-3</v>
      </c>
      <c r="T82" s="37">
        <f t="shared" si="47"/>
        <v>5</v>
      </c>
      <c r="U82" s="40">
        <f t="shared" si="48"/>
        <v>0.19999999999999998</v>
      </c>
      <c r="V82" s="39">
        <f t="shared" si="49"/>
        <v>1</v>
      </c>
      <c r="W82" s="37">
        <f t="shared" si="50"/>
        <v>0.25690465157330261</v>
      </c>
      <c r="X82" s="40">
        <f t="shared" si="51"/>
        <v>1.5569978883230461E-3</v>
      </c>
      <c r="Y82" s="39">
        <f t="shared" si="52"/>
        <v>1.2845232578665133</v>
      </c>
      <c r="Z82" s="37">
        <f t="shared" si="71"/>
        <v>1.2845232578665133</v>
      </c>
      <c r="AA82" s="37">
        <f t="shared" si="72"/>
        <v>0.37703303197981769</v>
      </c>
      <c r="AB82" s="37">
        <v>0</v>
      </c>
      <c r="AC82" s="37">
        <f t="shared" si="53"/>
        <v>4.9753867521362986E-3</v>
      </c>
      <c r="AD82" s="40">
        <f t="shared" si="62"/>
        <v>4.9753867521362986E-3</v>
      </c>
      <c r="AE82" s="39">
        <f t="shared" si="70"/>
        <v>5.1380930314660518E-2</v>
      </c>
      <c r="AF82" s="37">
        <f t="shared" si="63"/>
        <v>0.37589567484252395</v>
      </c>
      <c r="AG82" s="37">
        <f t="shared" si="54"/>
        <v>1.6531814328742029E-3</v>
      </c>
      <c r="AH82" s="37">
        <f t="shared" si="55"/>
        <v>2.8007845283745079E-2</v>
      </c>
      <c r="AI82" s="40">
        <f t="shared" si="64"/>
        <v>2.9661026716619281E-2</v>
      </c>
      <c r="AJ82" s="39">
        <f t="shared" si="65"/>
        <v>3.113995776646092E-4</v>
      </c>
      <c r="AK82" s="37">
        <f t="shared" si="56"/>
        <v>2.9263438597978808E-2</v>
      </c>
      <c r="AL82" s="37">
        <f t="shared" si="57"/>
        <v>4.0000000000000001E-3</v>
      </c>
      <c r="AM82" s="37">
        <f t="shared" si="58"/>
        <v>0.85400000000000009</v>
      </c>
      <c r="AN82" s="40">
        <f t="shared" si="66"/>
        <v>0.8580000000000001</v>
      </c>
      <c r="AO82" s="39">
        <f t="shared" si="59"/>
        <v>6.6409852431698752E-3</v>
      </c>
      <c r="AP82" s="37">
        <f t="shared" si="60"/>
        <v>2.1600000000000001E-2</v>
      </c>
      <c r="AQ82" s="40">
        <f t="shared" si="61"/>
        <v>2.2499999999999998E-3</v>
      </c>
      <c r="AR82" s="39">
        <f t="shared" si="67"/>
        <v>0.92312739871192551</v>
      </c>
      <c r="AS82" s="37">
        <f t="shared" si="68"/>
        <v>0.85</v>
      </c>
      <c r="AT82" s="40">
        <f t="shared" si="69"/>
        <v>47.937897785431318</v>
      </c>
    </row>
    <row r="83" spans="17:46" x14ac:dyDescent="0.2">
      <c r="Q83">
        <v>76</v>
      </c>
      <c r="R83" s="39">
        <f t="shared" si="45"/>
        <v>170</v>
      </c>
      <c r="S83" s="37">
        <f t="shared" si="46"/>
        <v>5.0666666666666672E-3</v>
      </c>
      <c r="T83" s="37">
        <f t="shared" si="47"/>
        <v>5</v>
      </c>
      <c r="U83" s="40">
        <f t="shared" si="48"/>
        <v>0.20266666666666669</v>
      </c>
      <c r="V83" s="39">
        <f t="shared" si="49"/>
        <v>1</v>
      </c>
      <c r="W83" s="37">
        <f t="shared" si="50"/>
        <v>0.25861167800391383</v>
      </c>
      <c r="X83" s="40">
        <f t="shared" si="51"/>
        <v>1.5673435030540233E-3</v>
      </c>
      <c r="Y83" s="39">
        <f t="shared" si="52"/>
        <v>1.2930583900195693</v>
      </c>
      <c r="Z83" s="37">
        <f t="shared" si="71"/>
        <v>1.2930583900195693</v>
      </c>
      <c r="AA83" s="37">
        <f t="shared" si="72"/>
        <v>0.38079711306663483</v>
      </c>
      <c r="AB83" s="37">
        <v>0</v>
      </c>
      <c r="AC83" s="37">
        <f t="shared" si="53"/>
        <v>5.0752254461959214E-3</v>
      </c>
      <c r="AD83" s="40">
        <f t="shared" si="62"/>
        <v>5.0752254461959214E-3</v>
      </c>
      <c r="AE83" s="39">
        <f t="shared" si="70"/>
        <v>5.2411966742126538E-2</v>
      </c>
      <c r="AF83" s="37">
        <f t="shared" si="63"/>
        <v>0.37964840120939275</v>
      </c>
      <c r="AG83" s="37">
        <f t="shared" si="54"/>
        <v>1.6863550299279222E-3</v>
      </c>
      <c r="AH83" s="37">
        <f t="shared" si="55"/>
        <v>2.8381283220861683E-2</v>
      </c>
      <c r="AI83" s="40">
        <f t="shared" si="64"/>
        <v>3.0067638250789605E-2</v>
      </c>
      <c r="AJ83" s="39">
        <f t="shared" si="65"/>
        <v>3.1764828328561542E-4</v>
      </c>
      <c r="AK83" s="37">
        <f t="shared" si="56"/>
        <v>2.9555587949412248E-2</v>
      </c>
      <c r="AL83" s="37">
        <f t="shared" si="57"/>
        <v>4.0533333333333341E-3</v>
      </c>
      <c r="AM83" s="37">
        <f t="shared" si="58"/>
        <v>0.85400000000000009</v>
      </c>
      <c r="AN83" s="40">
        <f t="shared" si="66"/>
        <v>0.85805333333333345</v>
      </c>
      <c r="AO83" s="39">
        <f t="shared" si="59"/>
        <v>6.7742467014198574E-3</v>
      </c>
      <c r="AP83" s="37">
        <f t="shared" si="60"/>
        <v>2.1600000000000001E-2</v>
      </c>
      <c r="AQ83" s="40">
        <f t="shared" si="61"/>
        <v>2.2499999999999998E-3</v>
      </c>
      <c r="AR83" s="39">
        <f t="shared" si="67"/>
        <v>0.92382044373173877</v>
      </c>
      <c r="AS83" s="37">
        <f t="shared" si="68"/>
        <v>0.8613333333333334</v>
      </c>
      <c r="AT83" s="40">
        <f t="shared" si="69"/>
        <v>48.249811551217206</v>
      </c>
    </row>
    <row r="84" spans="17:46" x14ac:dyDescent="0.2">
      <c r="Q84">
        <v>77</v>
      </c>
      <c r="R84" s="39">
        <f t="shared" si="45"/>
        <v>170</v>
      </c>
      <c r="S84" s="37">
        <f t="shared" si="46"/>
        <v>5.1333333333333335E-3</v>
      </c>
      <c r="T84" s="37">
        <f t="shared" si="47"/>
        <v>5</v>
      </c>
      <c r="U84" s="40">
        <f t="shared" si="48"/>
        <v>0.20533333333333334</v>
      </c>
      <c r="V84" s="39">
        <f t="shared" si="49"/>
        <v>1</v>
      </c>
      <c r="W84" s="37">
        <f t="shared" si="50"/>
        <v>0.26030751045638306</v>
      </c>
      <c r="X84" s="40">
        <f t="shared" si="51"/>
        <v>1.5776212754932306E-3</v>
      </c>
      <c r="Y84" s="39">
        <f t="shared" si="52"/>
        <v>1.3015375522819155</v>
      </c>
      <c r="Z84" s="37">
        <f t="shared" si="71"/>
        <v>1.3015375522819155</v>
      </c>
      <c r="AA84" s="37">
        <f t="shared" si="72"/>
        <v>0.384548832249689</v>
      </c>
      <c r="AB84" s="37">
        <v>0</v>
      </c>
      <c r="AC84" s="37">
        <f t="shared" si="53"/>
        <v>5.175723153460981E-3</v>
      </c>
      <c r="AD84" s="40">
        <f t="shared" si="62"/>
        <v>5.175723153460981E-3</v>
      </c>
      <c r="AE84" s="39">
        <f t="shared" si="70"/>
        <v>5.3449808813710656E-2</v>
      </c>
      <c r="AF84" s="37">
        <f t="shared" si="63"/>
        <v>0.38338880296339417</v>
      </c>
      <c r="AG84" s="37">
        <f t="shared" si="54"/>
        <v>1.7197475985811399E-3</v>
      </c>
      <c r="AH84" s="37">
        <f t="shared" si="55"/>
        <v>2.875472115797828E-2</v>
      </c>
      <c r="AI84" s="40">
        <f t="shared" si="64"/>
        <v>3.047446875655942E-2</v>
      </c>
      <c r="AJ84" s="39">
        <f t="shared" si="65"/>
        <v>3.2393823523461002E-4</v>
      </c>
      <c r="AK84" s="37">
        <f t="shared" si="56"/>
        <v>2.9846777831035256E-2</v>
      </c>
      <c r="AL84" s="37">
        <f t="shared" si="57"/>
        <v>4.1066666666666673E-3</v>
      </c>
      <c r="AM84" s="37">
        <f t="shared" si="58"/>
        <v>0.85400000000000009</v>
      </c>
      <c r="AN84" s="40">
        <f t="shared" si="66"/>
        <v>0.8581066666666668</v>
      </c>
      <c r="AO84" s="39">
        <f t="shared" si="59"/>
        <v>6.9083877891721003E-3</v>
      </c>
      <c r="AP84" s="37">
        <f t="shared" si="60"/>
        <v>2.1600000000000001E-2</v>
      </c>
      <c r="AQ84" s="40">
        <f t="shared" si="61"/>
        <v>2.2499999999999998E-3</v>
      </c>
      <c r="AR84" s="39">
        <f t="shared" si="67"/>
        <v>0.92451524636585924</v>
      </c>
      <c r="AS84" s="37">
        <f t="shared" si="68"/>
        <v>0.8726666666666667</v>
      </c>
      <c r="AT84" s="40">
        <f t="shared" si="69"/>
        <v>48.55750329659994</v>
      </c>
    </row>
    <row r="85" spans="17:46" x14ac:dyDescent="0.2">
      <c r="Q85">
        <v>78</v>
      </c>
      <c r="R85" s="39">
        <f t="shared" si="45"/>
        <v>170</v>
      </c>
      <c r="S85" s="37">
        <f t="shared" si="46"/>
        <v>5.2000000000000006E-3</v>
      </c>
      <c r="T85" s="37">
        <f t="shared" si="47"/>
        <v>5</v>
      </c>
      <c r="U85" s="40">
        <f t="shared" si="48"/>
        <v>0.20800000000000002</v>
      </c>
      <c r="V85" s="39">
        <f t="shared" si="49"/>
        <v>1</v>
      </c>
      <c r="W85" s="37">
        <f t="shared" si="50"/>
        <v>0.26199236630100503</v>
      </c>
      <c r="X85" s="40">
        <f t="shared" si="51"/>
        <v>1.5878325230363941E-3</v>
      </c>
      <c r="Y85" s="39">
        <f t="shared" si="52"/>
        <v>1.3099618315050254</v>
      </c>
      <c r="Z85" s="37">
        <f t="shared" si="71"/>
        <v>1.3099618315050254</v>
      </c>
      <c r="AA85" s="37">
        <f t="shared" si="72"/>
        <v>0.38828838989512904</v>
      </c>
      <c r="AB85" s="37">
        <v>0</v>
      </c>
      <c r="AC85" s="37">
        <f t="shared" si="53"/>
        <v>5.2768755804573119E-3</v>
      </c>
      <c r="AD85" s="40">
        <f t="shared" si="62"/>
        <v>5.2768755804573119E-3</v>
      </c>
      <c r="AE85" s="39">
        <f t="shared" si="70"/>
        <v>5.4494412190609048E-2</v>
      </c>
      <c r="AF85" s="37">
        <f t="shared" si="63"/>
        <v>0.38711707986625304</v>
      </c>
      <c r="AG85" s="37">
        <f t="shared" si="54"/>
        <v>1.753357712232847E-3</v>
      </c>
      <c r="AH85" s="37">
        <f t="shared" si="55"/>
        <v>2.9128159095094884E-2</v>
      </c>
      <c r="AI85" s="40">
        <f t="shared" si="64"/>
        <v>3.088151680732773E-2</v>
      </c>
      <c r="AJ85" s="39">
        <f t="shared" si="65"/>
        <v>3.3026916479156999E-4</v>
      </c>
      <c r="AK85" s="37">
        <f t="shared" si="56"/>
        <v>3.0137023794276994E-2</v>
      </c>
      <c r="AL85" s="37">
        <f t="shared" si="57"/>
        <v>4.1600000000000005E-3</v>
      </c>
      <c r="AM85" s="37">
        <f t="shared" si="58"/>
        <v>0.85400000000000009</v>
      </c>
      <c r="AN85" s="40">
        <f t="shared" si="66"/>
        <v>0.85816000000000014</v>
      </c>
      <c r="AO85" s="39">
        <f t="shared" si="59"/>
        <v>7.0434027756362226E-3</v>
      </c>
      <c r="AP85" s="37">
        <f t="shared" si="60"/>
        <v>2.1600000000000001E-2</v>
      </c>
      <c r="AQ85" s="40">
        <f t="shared" si="61"/>
        <v>2.2499999999999998E-3</v>
      </c>
      <c r="AR85" s="39">
        <f t="shared" si="67"/>
        <v>0.92521179516342134</v>
      </c>
      <c r="AS85" s="37">
        <f t="shared" si="68"/>
        <v>0.88400000000000012</v>
      </c>
      <c r="AT85" s="40">
        <f t="shared" si="69"/>
        <v>48.861056641527732</v>
      </c>
    </row>
    <row r="86" spans="17:46" x14ac:dyDescent="0.2">
      <c r="Q86">
        <v>79</v>
      </c>
      <c r="R86" s="39">
        <f t="shared" si="45"/>
        <v>170</v>
      </c>
      <c r="S86" s="37">
        <f t="shared" si="46"/>
        <v>5.2666666666666669E-3</v>
      </c>
      <c r="T86" s="37">
        <f t="shared" si="47"/>
        <v>5</v>
      </c>
      <c r="U86" s="40">
        <f t="shared" si="48"/>
        <v>0.2106666666666667</v>
      </c>
      <c r="V86" s="39">
        <f t="shared" si="49"/>
        <v>1</v>
      </c>
      <c r="W86" s="37">
        <f t="shared" si="50"/>
        <v>0.26366645596283195</v>
      </c>
      <c r="X86" s="40">
        <f t="shared" si="51"/>
        <v>1.5979785209868603E-3</v>
      </c>
      <c r="Y86" s="39">
        <f t="shared" si="52"/>
        <v>1.3183322798141599</v>
      </c>
      <c r="Z86" s="37">
        <f t="shared" si="71"/>
        <v>1.3183322798141599</v>
      </c>
      <c r="AA86" s="37">
        <f t="shared" si="72"/>
        <v>0.39201598059810316</v>
      </c>
      <c r="AB86" s="37">
        <v>0</v>
      </c>
      <c r="AC86" s="37">
        <f t="shared" si="53"/>
        <v>5.3786785165502345E-3</v>
      </c>
      <c r="AD86" s="40">
        <f t="shared" si="62"/>
        <v>5.3786785165502345E-3</v>
      </c>
      <c r="AE86" s="39">
        <f t="shared" si="70"/>
        <v>5.554573338950327E-2</v>
      </c>
      <c r="AF86" s="37">
        <f t="shared" si="63"/>
        <v>0.39083342592610221</v>
      </c>
      <c r="AG86" s="37">
        <f t="shared" si="54"/>
        <v>1.7871839718072683E-3</v>
      </c>
      <c r="AH86" s="37">
        <f t="shared" si="55"/>
        <v>2.9501597032211488E-2</v>
      </c>
      <c r="AI86" s="40">
        <f t="shared" si="64"/>
        <v>3.1288781004018759E-2</v>
      </c>
      <c r="AJ86" s="39">
        <f t="shared" si="65"/>
        <v>3.3664080842123195E-4</v>
      </c>
      <c r="AK86" s="37">
        <f t="shared" si="56"/>
        <v>3.0426340942650135E-2</v>
      </c>
      <c r="AL86" s="37">
        <f t="shared" si="57"/>
        <v>4.2133333333333337E-3</v>
      </c>
      <c r="AM86" s="37">
        <f t="shared" si="58"/>
        <v>0.85400000000000009</v>
      </c>
      <c r="AN86" s="40">
        <f t="shared" si="66"/>
        <v>0.85821333333333338</v>
      </c>
      <c r="AO86" s="39">
        <f t="shared" si="59"/>
        <v>7.1792860405932996E-3</v>
      </c>
      <c r="AP86" s="37">
        <f t="shared" si="60"/>
        <v>2.1600000000000001E-2</v>
      </c>
      <c r="AQ86" s="40">
        <f t="shared" si="61"/>
        <v>2.2499999999999998E-3</v>
      </c>
      <c r="AR86" s="39">
        <f t="shared" si="67"/>
        <v>0.92591007889449561</v>
      </c>
      <c r="AS86" s="37">
        <f t="shared" si="68"/>
        <v>0.89533333333333343</v>
      </c>
      <c r="AT86" s="40">
        <f t="shared" si="69"/>
        <v>49.160553022295922</v>
      </c>
    </row>
    <row r="87" spans="17:46" x14ac:dyDescent="0.2">
      <c r="Q87">
        <v>80</v>
      </c>
      <c r="R87" s="39">
        <f t="shared" si="45"/>
        <v>170</v>
      </c>
      <c r="S87" s="37">
        <f t="shared" si="46"/>
        <v>5.333333333333334E-3</v>
      </c>
      <c r="T87" s="37">
        <f t="shared" si="47"/>
        <v>5</v>
      </c>
      <c r="U87" s="40">
        <f t="shared" si="48"/>
        <v>0.21333333333333335</v>
      </c>
      <c r="V87" s="39">
        <f t="shared" si="49"/>
        <v>1</v>
      </c>
      <c r="W87" s="37">
        <f t="shared" si="50"/>
        <v>0.26532998322843199</v>
      </c>
      <c r="X87" s="40">
        <f t="shared" si="51"/>
        <v>1.6080605044147393E-3</v>
      </c>
      <c r="Y87" s="39">
        <f t="shared" si="52"/>
        <v>1.3266499161421601</v>
      </c>
      <c r="Z87" s="37">
        <f t="shared" si="71"/>
        <v>1.3266499161421601</v>
      </c>
      <c r="AA87" s="37">
        <f t="shared" si="72"/>
        <v>0.39573179341982384</v>
      </c>
      <c r="AB87" s="37">
        <v>0</v>
      </c>
      <c r="AC87" s="37">
        <f t="shared" si="53"/>
        <v>5.4811278313144553E-3</v>
      </c>
      <c r="AD87" s="40">
        <f t="shared" si="62"/>
        <v>5.4811278313144553E-3</v>
      </c>
      <c r="AE87" s="39">
        <f t="shared" si="70"/>
        <v>5.6603729755398825E-2</v>
      </c>
      <c r="AF87" s="37">
        <f t="shared" si="63"/>
        <v>0.39453802963383239</v>
      </c>
      <c r="AG87" s="37">
        <f t="shared" si="54"/>
        <v>1.8212250048799576E-3</v>
      </c>
      <c r="AH87" s="37">
        <f t="shared" si="55"/>
        <v>2.9875034969328081E-2</v>
      </c>
      <c r="AI87" s="40">
        <f t="shared" si="64"/>
        <v>3.1696259974208038E-2</v>
      </c>
      <c r="AJ87" s="39">
        <f t="shared" si="65"/>
        <v>3.4305290760847773E-4</v>
      </c>
      <c r="AK87" s="37">
        <f t="shared" si="56"/>
        <v>3.0714743950150617E-2</v>
      </c>
      <c r="AL87" s="37">
        <f t="shared" si="57"/>
        <v>4.2666666666666677E-3</v>
      </c>
      <c r="AM87" s="37">
        <f t="shared" si="58"/>
        <v>0.85400000000000009</v>
      </c>
      <c r="AN87" s="40">
        <f t="shared" si="66"/>
        <v>0.85826666666666673</v>
      </c>
      <c r="AO87" s="39">
        <f t="shared" si="59"/>
        <v>7.3160320708852995E-3</v>
      </c>
      <c r="AP87" s="37">
        <f t="shared" si="60"/>
        <v>2.1600000000000001E-2</v>
      </c>
      <c r="AQ87" s="40">
        <f t="shared" si="61"/>
        <v>2.2499999999999998E-3</v>
      </c>
      <c r="AR87" s="39">
        <f t="shared" si="67"/>
        <v>0.92661008654307442</v>
      </c>
      <c r="AS87" s="37">
        <f t="shared" si="68"/>
        <v>0.90666666666666673</v>
      </c>
      <c r="AT87" s="40">
        <f t="shared" si="69"/>
        <v>49.456071762174197</v>
      </c>
    </row>
    <row r="88" spans="17:46" x14ac:dyDescent="0.2">
      <c r="Q88">
        <v>81</v>
      </c>
      <c r="R88" s="39">
        <f t="shared" si="45"/>
        <v>170</v>
      </c>
      <c r="S88" s="37">
        <f t="shared" si="46"/>
        <v>5.4000000000000003E-3</v>
      </c>
      <c r="T88" s="37">
        <f t="shared" si="47"/>
        <v>5</v>
      </c>
      <c r="U88" s="40">
        <f t="shared" si="48"/>
        <v>0.216</v>
      </c>
      <c r="V88" s="39">
        <f t="shared" si="49"/>
        <v>1</v>
      </c>
      <c r="W88" s="37">
        <f t="shared" si="50"/>
        <v>0.26698314553544383</v>
      </c>
      <c r="X88" s="40">
        <f t="shared" si="51"/>
        <v>1.6180796699117809E-3</v>
      </c>
      <c r="Y88" s="39">
        <f t="shared" si="52"/>
        <v>1.3349157276772194</v>
      </c>
      <c r="Z88" s="37">
        <f t="shared" si="71"/>
        <v>1.3349157276772194</v>
      </c>
      <c r="AA88" s="37">
        <f t="shared" si="72"/>
        <v>0.39943601211205437</v>
      </c>
      <c r="AB88" s="37">
        <v>0</v>
      </c>
      <c r="AC88" s="37">
        <f t="shared" si="53"/>
        <v>5.5842194720193443E-3</v>
      </c>
      <c r="AD88" s="40">
        <f t="shared" si="62"/>
        <v>5.5842194720193443E-3</v>
      </c>
      <c r="AE88" s="39">
        <f t="shared" si="70"/>
        <v>5.7668359435655868E-2</v>
      </c>
      <c r="AF88" s="37">
        <f t="shared" si="63"/>
        <v>0.39823107418690179</v>
      </c>
      <c r="AG88" s="37">
        <f t="shared" si="54"/>
        <v>1.8554794648422282E-3</v>
      </c>
      <c r="AH88" s="37">
        <f t="shared" si="55"/>
        <v>3.0248472906444685E-2</v>
      </c>
      <c r="AI88" s="40">
        <f t="shared" si="64"/>
        <v>3.2103952371286916E-2</v>
      </c>
      <c r="AJ88" s="39">
        <f t="shared" si="65"/>
        <v>3.4950520870094466E-4</v>
      </c>
      <c r="AK88" s="37">
        <f t="shared" si="56"/>
        <v>3.1002247078681218E-2</v>
      </c>
      <c r="AL88" s="37">
        <f t="shared" si="57"/>
        <v>4.3200000000000001E-3</v>
      </c>
      <c r="AM88" s="37">
        <f t="shared" si="58"/>
        <v>0.85400000000000009</v>
      </c>
      <c r="AN88" s="40">
        <f t="shared" si="66"/>
        <v>0.85832000000000008</v>
      </c>
      <c r="AO88" s="39">
        <f t="shared" si="59"/>
        <v>7.4536354570585231E-3</v>
      </c>
      <c r="AP88" s="37">
        <f t="shared" si="60"/>
        <v>2.1600000000000001E-2</v>
      </c>
      <c r="AQ88" s="40">
        <f t="shared" si="61"/>
        <v>2.2499999999999998E-3</v>
      </c>
      <c r="AR88" s="39">
        <f t="shared" si="67"/>
        <v>0.92731180730036489</v>
      </c>
      <c r="AS88" s="37">
        <f t="shared" si="68"/>
        <v>0.91800000000000004</v>
      </c>
      <c r="AT88" s="40">
        <f t="shared" si="69"/>
        <v>49.747690139316134</v>
      </c>
    </row>
    <row r="89" spans="17:46" x14ac:dyDescent="0.2">
      <c r="Q89">
        <v>82</v>
      </c>
      <c r="R89" s="39">
        <f t="shared" si="45"/>
        <v>170</v>
      </c>
      <c r="S89" s="37">
        <f t="shared" si="46"/>
        <v>5.4666666666666665E-3</v>
      </c>
      <c r="T89" s="37">
        <f t="shared" si="47"/>
        <v>5</v>
      </c>
      <c r="U89" s="40">
        <f t="shared" si="48"/>
        <v>0.21866666666666668</v>
      </c>
      <c r="V89" s="39">
        <f t="shared" si="49"/>
        <v>1</v>
      </c>
      <c r="W89" s="37">
        <f t="shared" si="50"/>
        <v>0.268626134246093</v>
      </c>
      <c r="X89" s="40">
        <f t="shared" si="51"/>
        <v>1.6280371772490481E-3</v>
      </c>
      <c r="Y89" s="39">
        <f t="shared" si="52"/>
        <v>1.3431306712304651</v>
      </c>
      <c r="Z89" s="37">
        <f t="shared" si="71"/>
        <v>1.3431306712304651</v>
      </c>
      <c r="AA89" s="37">
        <f t="shared" si="72"/>
        <v>0.40312881532983519</v>
      </c>
      <c r="AB89" s="37">
        <v>0</v>
      </c>
      <c r="AC89" s="37">
        <f t="shared" si="53"/>
        <v>5.6879494612232734E-3</v>
      </c>
      <c r="AD89" s="40">
        <f t="shared" si="62"/>
        <v>5.6879494612232734E-3</v>
      </c>
      <c r="AE89" s="39">
        <f t="shared" si="70"/>
        <v>5.8739581355145669E-2</v>
      </c>
      <c r="AF89" s="37">
        <f t="shared" si="63"/>
        <v>0.40191273770142016</v>
      </c>
      <c r="AG89" s="37">
        <f t="shared" si="54"/>
        <v>1.8899460301018114E-3</v>
      </c>
      <c r="AH89" s="37">
        <f t="shared" si="55"/>
        <v>3.0621910843561282E-2</v>
      </c>
      <c r="AI89" s="40">
        <f t="shared" si="64"/>
        <v>3.2511856873663092E-2</v>
      </c>
      <c r="AJ89" s="39">
        <f t="shared" si="65"/>
        <v>3.5599746275845855E-4</v>
      </c>
      <c r="AK89" s="37">
        <f t="shared" si="56"/>
        <v>3.1288864194562269E-2</v>
      </c>
      <c r="AL89" s="37">
        <f t="shared" si="57"/>
        <v>4.3733333333333332E-3</v>
      </c>
      <c r="AM89" s="37">
        <f t="shared" si="58"/>
        <v>0.85400000000000009</v>
      </c>
      <c r="AN89" s="40">
        <f t="shared" si="66"/>
        <v>0.85837333333333343</v>
      </c>
      <c r="AO89" s="39">
        <f t="shared" si="59"/>
        <v>7.5920908901525759E-3</v>
      </c>
      <c r="AP89" s="37">
        <f t="shared" si="60"/>
        <v>2.1600000000000001E-2</v>
      </c>
      <c r="AQ89" s="40">
        <f t="shared" si="61"/>
        <v>2.2499999999999998E-3</v>
      </c>
      <c r="AR89" s="39">
        <f t="shared" si="67"/>
        <v>0.92801523055837232</v>
      </c>
      <c r="AS89" s="37">
        <f t="shared" si="68"/>
        <v>0.92933333333333334</v>
      </c>
      <c r="AT89" s="40">
        <f t="shared" si="69"/>
        <v>50.035483452072107</v>
      </c>
    </row>
    <row r="90" spans="17:46" x14ac:dyDescent="0.2">
      <c r="Q90">
        <v>83</v>
      </c>
      <c r="R90" s="39">
        <f t="shared" si="45"/>
        <v>170</v>
      </c>
      <c r="S90" s="37">
        <f t="shared" si="46"/>
        <v>5.5333333333333337E-3</v>
      </c>
      <c r="T90" s="37">
        <f t="shared" si="47"/>
        <v>5</v>
      </c>
      <c r="U90" s="40">
        <f t="shared" si="48"/>
        <v>0.22133333333333335</v>
      </c>
      <c r="V90" s="39">
        <f t="shared" si="49"/>
        <v>1</v>
      </c>
      <c r="W90" s="37">
        <f t="shared" si="50"/>
        <v>0.27025913490574194</v>
      </c>
      <c r="X90" s="40">
        <f t="shared" si="51"/>
        <v>1.6379341509438906E-3</v>
      </c>
      <c r="Y90" s="39">
        <f t="shared" si="52"/>
        <v>1.3512956745287099</v>
      </c>
      <c r="Z90" s="37">
        <f t="shared" si="71"/>
        <v>1.3512956745287099</v>
      </c>
      <c r="AA90" s="37">
        <f t="shared" si="72"/>
        <v>0.40681037683319915</v>
      </c>
      <c r="AB90" s="37">
        <v>0</v>
      </c>
      <c r="AC90" s="37">
        <f t="shared" si="53"/>
        <v>5.7923138944709334E-3</v>
      </c>
      <c r="AD90" s="40">
        <f t="shared" si="62"/>
        <v>5.7923138944709334E-3</v>
      </c>
      <c r="AE90" s="39">
        <f t="shared" si="70"/>
        <v>5.9817355192470889E-2</v>
      </c>
      <c r="AF90" s="37">
        <f t="shared" si="63"/>
        <v>0.40558319341325644</v>
      </c>
      <c r="AG90" s="37">
        <f t="shared" si="54"/>
        <v>1.9246234033177512E-3</v>
      </c>
      <c r="AH90" s="37">
        <f t="shared" si="55"/>
        <v>3.0995348780677893E-2</v>
      </c>
      <c r="AI90" s="40">
        <f t="shared" si="64"/>
        <v>3.2919972183995644E-2</v>
      </c>
      <c r="AJ90" s="39">
        <f t="shared" si="65"/>
        <v>3.6252942540891447E-4</v>
      </c>
      <c r="AK90" s="37">
        <f t="shared" si="56"/>
        <v>3.1574608784187892E-2</v>
      </c>
      <c r="AL90" s="37">
        <f t="shared" si="57"/>
        <v>4.4266666666666673E-3</v>
      </c>
      <c r="AM90" s="37">
        <f t="shared" si="58"/>
        <v>0.85400000000000009</v>
      </c>
      <c r="AN90" s="40">
        <f t="shared" si="66"/>
        <v>0.85842666666666678</v>
      </c>
      <c r="AO90" s="39">
        <f t="shared" si="59"/>
        <v>7.7313931586268638E-3</v>
      </c>
      <c r="AP90" s="37">
        <f t="shared" si="60"/>
        <v>2.1600000000000001E-2</v>
      </c>
      <c r="AQ90" s="40">
        <f t="shared" si="61"/>
        <v>2.2499999999999998E-3</v>
      </c>
      <c r="AR90" s="39">
        <f t="shared" si="67"/>
        <v>0.92872034590376007</v>
      </c>
      <c r="AS90" s="37">
        <f t="shared" si="68"/>
        <v>0.94066666666666676</v>
      </c>
      <c r="AT90" s="40">
        <f t="shared" si="69"/>
        <v>50.319525081820281</v>
      </c>
    </row>
    <row r="91" spans="17:46" x14ac:dyDescent="0.2">
      <c r="Q91">
        <v>84</v>
      </c>
      <c r="R91" s="39">
        <f t="shared" si="45"/>
        <v>170</v>
      </c>
      <c r="S91" s="37">
        <f t="shared" si="46"/>
        <v>5.5999999999999999E-3</v>
      </c>
      <c r="T91" s="37">
        <f t="shared" si="47"/>
        <v>5</v>
      </c>
      <c r="U91" s="40">
        <f t="shared" si="48"/>
        <v>0.22399999999999998</v>
      </c>
      <c r="V91" s="39">
        <f t="shared" si="49"/>
        <v>1</v>
      </c>
      <c r="W91" s="37">
        <f t="shared" si="50"/>
        <v>0.27188232748746283</v>
      </c>
      <c r="X91" s="40">
        <f t="shared" si="51"/>
        <v>1.6477716817421988E-3</v>
      </c>
      <c r="Y91" s="39">
        <f t="shared" si="52"/>
        <v>1.3594116374373144</v>
      </c>
      <c r="Z91" s="37">
        <f t="shared" si="71"/>
        <v>1.3594116374373144</v>
      </c>
      <c r="AA91" s="37">
        <f t="shared" si="72"/>
        <v>0.41048086567857256</v>
      </c>
      <c r="AB91" s="37">
        <v>0</v>
      </c>
      <c r="AC91" s="37">
        <f t="shared" si="53"/>
        <v>5.8973089380880625E-3</v>
      </c>
      <c r="AD91" s="40">
        <f t="shared" si="62"/>
        <v>5.8973089380880625E-3</v>
      </c>
      <c r="AE91" s="39">
        <f t="shared" si="70"/>
        <v>6.0901641357191665E-2</v>
      </c>
      <c r="AF91" s="37">
        <f t="shared" si="63"/>
        <v>0.40924260986886141</v>
      </c>
      <c r="AG91" s="37">
        <f t="shared" si="54"/>
        <v>1.959510310667642E-3</v>
      </c>
      <c r="AH91" s="37">
        <f t="shared" si="55"/>
        <v>3.1368786717794486E-2</v>
      </c>
      <c r="AI91" s="40">
        <f t="shared" si="64"/>
        <v>3.3328297028462128E-2</v>
      </c>
      <c r="AJ91" s="39">
        <f t="shared" si="65"/>
        <v>3.6910085671025252E-4</v>
      </c>
      <c r="AK91" s="37">
        <f t="shared" si="56"/>
        <v>3.1859493968881471E-2</v>
      </c>
      <c r="AL91" s="37">
        <f t="shared" si="57"/>
        <v>4.4800000000000005E-3</v>
      </c>
      <c r="AM91" s="37">
        <f t="shared" si="58"/>
        <v>0.85400000000000009</v>
      </c>
      <c r="AN91" s="40">
        <f t="shared" si="66"/>
        <v>0.85848000000000013</v>
      </c>
      <c r="AO91" s="39">
        <f t="shared" si="59"/>
        <v>7.8715371454170235E-3</v>
      </c>
      <c r="AP91" s="37">
        <f t="shared" si="60"/>
        <v>2.1600000000000001E-2</v>
      </c>
      <c r="AQ91" s="40">
        <f t="shared" si="61"/>
        <v>2.2499999999999998E-3</v>
      </c>
      <c r="AR91" s="39">
        <f t="shared" si="67"/>
        <v>0.92942714311196717</v>
      </c>
      <c r="AS91" s="37">
        <f t="shared" si="68"/>
        <v>0.95199999999999996</v>
      </c>
      <c r="AT91" s="40">
        <f t="shared" si="69"/>
        <v>50.59988655342498</v>
      </c>
    </row>
    <row r="92" spans="17:46" x14ac:dyDescent="0.2">
      <c r="Q92">
        <v>85</v>
      </c>
      <c r="R92" s="39">
        <f t="shared" si="45"/>
        <v>170</v>
      </c>
      <c r="S92" s="37">
        <f t="shared" si="46"/>
        <v>5.6666666666666671E-3</v>
      </c>
      <c r="T92" s="37">
        <f t="shared" si="47"/>
        <v>5</v>
      </c>
      <c r="U92" s="40">
        <f t="shared" si="48"/>
        <v>0.22666666666666668</v>
      </c>
      <c r="V92" s="39">
        <f t="shared" si="49"/>
        <v>1</v>
      </c>
      <c r="W92" s="37">
        <f t="shared" si="50"/>
        <v>0.27349588662354685</v>
      </c>
      <c r="X92" s="40">
        <f t="shared" si="51"/>
        <v>1.6575508280214958E-3</v>
      </c>
      <c r="Y92" s="39">
        <f t="shared" si="52"/>
        <v>1.3674794331177345</v>
      </c>
      <c r="Z92" s="37">
        <f t="shared" si="71"/>
        <v>1.3674794331177345</v>
      </c>
      <c r="AA92" s="37">
        <f t="shared" si="72"/>
        <v>0.41414044640050668</v>
      </c>
      <c r="AB92" s="37">
        <v>0</v>
      </c>
      <c r="AC92" s="37">
        <f t="shared" si="53"/>
        <v>6.0029308270683835E-3</v>
      </c>
      <c r="AD92" s="40">
        <f t="shared" si="62"/>
        <v>6.0029308270683835E-3</v>
      </c>
      <c r="AE92" s="39">
        <f t="shared" si="70"/>
        <v>6.1992400968003958E-2</v>
      </c>
      <c r="AF92" s="37">
        <f t="shared" si="63"/>
        <v>0.41289115110645191</v>
      </c>
      <c r="AG92" s="37">
        <f t="shared" si="54"/>
        <v>1.9946055011455278E-3</v>
      </c>
      <c r="AH92" s="37">
        <f t="shared" si="55"/>
        <v>3.1742224654911097E-2</v>
      </c>
      <c r="AI92" s="40">
        <f t="shared" si="64"/>
        <v>3.3736830156056621E-2</v>
      </c>
      <c r="AJ92" s="39">
        <f t="shared" si="65"/>
        <v>3.7571152101820572E-4</v>
      </c>
      <c r="AK92" s="37">
        <f t="shared" si="56"/>
        <v>3.2143532519000866E-2</v>
      </c>
      <c r="AL92" s="37">
        <f t="shared" si="57"/>
        <v>4.5333333333333337E-3</v>
      </c>
      <c r="AM92" s="37">
        <f t="shared" si="58"/>
        <v>0.85400000000000009</v>
      </c>
      <c r="AN92" s="40">
        <f t="shared" si="66"/>
        <v>0.85853333333333337</v>
      </c>
      <c r="AO92" s="39">
        <f t="shared" si="59"/>
        <v>8.0125178251145134E-3</v>
      </c>
      <c r="AP92" s="37">
        <f t="shared" si="60"/>
        <v>2.1600000000000001E-2</v>
      </c>
      <c r="AQ92" s="40">
        <f t="shared" si="61"/>
        <v>2.2499999999999998E-3</v>
      </c>
      <c r="AR92" s="39">
        <f t="shared" si="67"/>
        <v>0.93013561214157281</v>
      </c>
      <c r="AS92" s="37">
        <f t="shared" si="68"/>
        <v>0.96333333333333337</v>
      </c>
      <c r="AT92" s="40">
        <f t="shared" si="69"/>
        <v>50.876637593426025</v>
      </c>
    </row>
    <row r="93" spans="17:46" x14ac:dyDescent="0.2">
      <c r="Q93">
        <v>86</v>
      </c>
      <c r="R93" s="39">
        <f t="shared" si="45"/>
        <v>170</v>
      </c>
      <c r="S93" s="37">
        <f t="shared" si="46"/>
        <v>5.7333333333333333E-3</v>
      </c>
      <c r="T93" s="37">
        <f t="shared" si="47"/>
        <v>5</v>
      </c>
      <c r="U93" s="40">
        <f t="shared" si="48"/>
        <v>0.22933333333333333</v>
      </c>
      <c r="V93" s="39">
        <f t="shared" si="49"/>
        <v>1</v>
      </c>
      <c r="W93" s="37">
        <f t="shared" si="50"/>
        <v>0.2750999818247904</v>
      </c>
      <c r="X93" s="40">
        <f t="shared" si="51"/>
        <v>1.6672726171199415E-3</v>
      </c>
      <c r="Y93" s="39">
        <f t="shared" si="52"/>
        <v>1.3754999091239521</v>
      </c>
      <c r="Z93" s="37">
        <f t="shared" si="71"/>
        <v>1.3754999091239521</v>
      </c>
      <c r="AA93" s="37">
        <f t="shared" si="72"/>
        <v>0.41778927918433334</v>
      </c>
      <c r="AB93" s="37">
        <v>0</v>
      </c>
      <c r="AC93" s="37">
        <f t="shared" si="53"/>
        <v>6.1091758630477692E-3</v>
      </c>
      <c r="AD93" s="40">
        <f t="shared" si="62"/>
        <v>6.1091758630477692E-3</v>
      </c>
      <c r="AE93" s="39">
        <f t="shared" si="70"/>
        <v>6.3089595831818598E-2</v>
      </c>
      <c r="AF93" s="37">
        <f t="shared" si="63"/>
        <v>0.41652897682814483</v>
      </c>
      <c r="AG93" s="37">
        <f t="shared" si="54"/>
        <v>2.0299077458887644E-3</v>
      </c>
      <c r="AH93" s="37">
        <f t="shared" si="55"/>
        <v>3.2115662592027687E-2</v>
      </c>
      <c r="AI93" s="40">
        <f t="shared" si="64"/>
        <v>3.4145570337916452E-2</v>
      </c>
      <c r="AJ93" s="39">
        <f t="shared" si="65"/>
        <v>3.8236118685950661E-4</v>
      </c>
      <c r="AK93" s="37">
        <f t="shared" si="56"/>
        <v>3.2426736867339018E-2</v>
      </c>
      <c r="AL93" s="37">
        <f t="shared" si="57"/>
        <v>4.5866666666666668E-3</v>
      </c>
      <c r="AM93" s="37">
        <f t="shared" si="58"/>
        <v>0.85400000000000009</v>
      </c>
      <c r="AN93" s="40">
        <f t="shared" si="66"/>
        <v>0.85858666666666672</v>
      </c>
      <c r="AO93" s="39">
        <f t="shared" si="59"/>
        <v>8.1543302612625563E-3</v>
      </c>
      <c r="AP93" s="37">
        <f t="shared" si="60"/>
        <v>2.1600000000000001E-2</v>
      </c>
      <c r="AQ93" s="40">
        <f t="shared" si="61"/>
        <v>2.2499999999999998E-3</v>
      </c>
      <c r="AR93" s="39">
        <f t="shared" si="67"/>
        <v>0.93084574312889345</v>
      </c>
      <c r="AS93" s="37">
        <f t="shared" si="68"/>
        <v>0.97466666666666668</v>
      </c>
      <c r="AT93" s="40">
        <f t="shared" si="69"/>
        <v>51.149846186057502</v>
      </c>
    </row>
    <row r="94" spans="17:46" x14ac:dyDescent="0.2">
      <c r="Q94">
        <v>87</v>
      </c>
      <c r="R94" s="39">
        <f t="shared" si="45"/>
        <v>170</v>
      </c>
      <c r="S94" s="37">
        <f t="shared" si="46"/>
        <v>5.8000000000000005E-3</v>
      </c>
      <c r="T94" s="37">
        <f t="shared" si="47"/>
        <v>5</v>
      </c>
      <c r="U94" s="40">
        <f t="shared" si="48"/>
        <v>0.23200000000000001</v>
      </c>
      <c r="V94" s="39">
        <f t="shared" si="49"/>
        <v>1</v>
      </c>
      <c r="W94" s="37">
        <f t="shared" si="50"/>
        <v>0.27669477768834022</v>
      </c>
      <c r="X94" s="40">
        <f t="shared" si="51"/>
        <v>1.6769380465960009E-3</v>
      </c>
      <c r="Y94" s="39">
        <f t="shared" si="52"/>
        <v>1.3834738884417013</v>
      </c>
      <c r="Z94" s="37">
        <f t="shared" si="71"/>
        <v>1.3834738884417013</v>
      </c>
      <c r="AA94" s="37">
        <f t="shared" si="72"/>
        <v>0.42142752003030054</v>
      </c>
      <c r="AB94" s="37">
        <v>0</v>
      </c>
      <c r="AC94" s="37">
        <f t="shared" si="53"/>
        <v>6.2160404123611287E-3</v>
      </c>
      <c r="AD94" s="40">
        <f t="shared" si="62"/>
        <v>6.2160404123611287E-3</v>
      </c>
      <c r="AE94" s="39">
        <f t="shared" si="70"/>
        <v>6.4193188423694938E-2</v>
      </c>
      <c r="AF94" s="37">
        <f t="shared" si="63"/>
        <v>0.42015624256359813</v>
      </c>
      <c r="AG94" s="37">
        <f t="shared" si="54"/>
        <v>2.0654158375323847E-3</v>
      </c>
      <c r="AH94" s="37">
        <f t="shared" si="55"/>
        <v>3.2489100529144298E-2</v>
      </c>
      <c r="AI94" s="40">
        <f t="shared" si="64"/>
        <v>3.4554516366676682E-2</v>
      </c>
      <c r="AJ94" s="39">
        <f t="shared" si="65"/>
        <v>3.8904962681027223E-4</v>
      </c>
      <c r="AK94" s="37">
        <f t="shared" si="56"/>
        <v>3.2709119121863389E-2</v>
      </c>
      <c r="AL94" s="37">
        <f t="shared" si="57"/>
        <v>4.6400000000000009E-3</v>
      </c>
      <c r="AM94" s="37">
        <f t="shared" si="58"/>
        <v>0.85400000000000009</v>
      </c>
      <c r="AN94" s="40">
        <f t="shared" si="66"/>
        <v>0.85864000000000007</v>
      </c>
      <c r="AO94" s="39">
        <f t="shared" si="59"/>
        <v>8.2969696037625724E-3</v>
      </c>
      <c r="AP94" s="37">
        <f t="shared" si="60"/>
        <v>2.1600000000000001E-2</v>
      </c>
      <c r="AQ94" s="40">
        <f t="shared" si="61"/>
        <v>2.2499999999999998E-3</v>
      </c>
      <c r="AR94" s="39">
        <f t="shared" si="67"/>
        <v>0.93155752638280043</v>
      </c>
      <c r="AS94" s="37">
        <f t="shared" si="68"/>
        <v>0.9860000000000001</v>
      </c>
      <c r="AT94" s="40">
        <f t="shared" si="69"/>
        <v>51.419578627189807</v>
      </c>
    </row>
    <row r="95" spans="17:46" x14ac:dyDescent="0.2">
      <c r="Q95">
        <v>88</v>
      </c>
      <c r="R95" s="39">
        <f t="shared" si="45"/>
        <v>170</v>
      </c>
      <c r="S95" s="37">
        <f t="shared" si="46"/>
        <v>5.8666666666666667E-3</v>
      </c>
      <c r="T95" s="37">
        <f t="shared" si="47"/>
        <v>5</v>
      </c>
      <c r="U95" s="40">
        <f t="shared" si="48"/>
        <v>0.23466666666666666</v>
      </c>
      <c r="V95" s="39">
        <f t="shared" si="49"/>
        <v>1</v>
      </c>
      <c r="W95" s="37">
        <f t="shared" si="50"/>
        <v>0.2782804340948174</v>
      </c>
      <c r="X95" s="40">
        <f t="shared" si="51"/>
        <v>1.6865480854231353E-3</v>
      </c>
      <c r="Y95" s="39">
        <f t="shared" si="52"/>
        <v>1.3914021704740873</v>
      </c>
      <c r="Z95" s="37">
        <f t="shared" si="71"/>
        <v>1.3914021704740873</v>
      </c>
      <c r="AA95" s="37">
        <f t="shared" si="72"/>
        <v>0.42505532090970066</v>
      </c>
      <c r="AB95" s="37">
        <v>0</v>
      </c>
      <c r="AC95" s="37">
        <f t="shared" si="53"/>
        <v>6.3235209041777015E-3</v>
      </c>
      <c r="AD95" s="40">
        <f t="shared" si="62"/>
        <v>6.3235209041777015E-3</v>
      </c>
      <c r="AE95" s="39">
        <f t="shared" si="70"/>
        <v>6.5303141867583819E-2</v>
      </c>
      <c r="AF95" s="37">
        <f t="shared" si="63"/>
        <v>0.42377309982566808</v>
      </c>
      <c r="AG95" s="37">
        <f t="shared" si="54"/>
        <v>2.1011285895895112E-3</v>
      </c>
      <c r="AH95" s="37">
        <f t="shared" si="55"/>
        <v>3.2862538466260888E-2</v>
      </c>
      <c r="AI95" s="40">
        <f t="shared" si="64"/>
        <v>3.4963667055850398E-2</v>
      </c>
      <c r="AJ95" s="39">
        <f t="shared" si="65"/>
        <v>3.9577661737929577E-4</v>
      </c>
      <c r="AK95" s="37">
        <f t="shared" si="56"/>
        <v>3.2990691077833818E-2</v>
      </c>
      <c r="AL95" s="37">
        <f t="shared" si="57"/>
        <v>4.6933333333333341E-3</v>
      </c>
      <c r="AM95" s="37">
        <f t="shared" si="58"/>
        <v>0.85400000000000009</v>
      </c>
      <c r="AN95" s="40">
        <f t="shared" si="66"/>
        <v>0.85869333333333342</v>
      </c>
      <c r="AO95" s="39">
        <f t="shared" si="59"/>
        <v>8.4404310863852149E-3</v>
      </c>
      <c r="AP95" s="37">
        <f t="shared" si="60"/>
        <v>2.1600000000000001E-2</v>
      </c>
      <c r="AQ95" s="40">
        <f t="shared" si="61"/>
        <v>2.2499999999999998E-3</v>
      </c>
      <c r="AR95" s="39">
        <f t="shared" si="67"/>
        <v>0.93227095237974666</v>
      </c>
      <c r="AS95" s="37">
        <f t="shared" si="68"/>
        <v>0.99733333333333329</v>
      </c>
      <c r="AT95" s="40">
        <f t="shared" si="69"/>
        <v>51.685899576283923</v>
      </c>
    </row>
    <row r="96" spans="17:46" x14ac:dyDescent="0.2">
      <c r="Q96">
        <v>89</v>
      </c>
      <c r="R96" s="39">
        <f t="shared" si="45"/>
        <v>170</v>
      </c>
      <c r="S96" s="37">
        <f t="shared" si="46"/>
        <v>5.9333333333333339E-3</v>
      </c>
      <c r="T96" s="37">
        <f t="shared" si="47"/>
        <v>5</v>
      </c>
      <c r="U96" s="40">
        <f t="shared" si="48"/>
        <v>0.23733333333333337</v>
      </c>
      <c r="V96" s="39">
        <f t="shared" si="49"/>
        <v>1</v>
      </c>
      <c r="W96" s="37">
        <f t="shared" si="50"/>
        <v>0.27985710639538885</v>
      </c>
      <c r="X96" s="40">
        <f t="shared" si="51"/>
        <v>1.6961036751235684E-3</v>
      </c>
      <c r="Y96" s="39">
        <f t="shared" si="52"/>
        <v>1.3992855319769444</v>
      </c>
      <c r="Z96" s="37">
        <f t="shared" si="71"/>
        <v>1.3992855319769444</v>
      </c>
      <c r="AA96" s="37">
        <f t="shared" si="72"/>
        <v>0.42867282991346806</v>
      </c>
      <c r="AB96" s="37">
        <v>0</v>
      </c>
      <c r="AC96" s="37">
        <f t="shared" si="53"/>
        <v>6.431613828710739E-3</v>
      </c>
      <c r="AD96" s="40">
        <f t="shared" si="62"/>
        <v>6.431613828710739E-3</v>
      </c>
      <c r="AE96" s="39">
        <f t="shared" si="70"/>
        <v>6.6419419917838965E-2</v>
      </c>
      <c r="AF96" s="37">
        <f t="shared" si="63"/>
        <v>0.42737969625855787</v>
      </c>
      <c r="AG96" s="37">
        <f t="shared" si="54"/>
        <v>2.1370448358564694E-3</v>
      </c>
      <c r="AH96" s="37">
        <f t="shared" si="55"/>
        <v>3.3235976403377498E-2</v>
      </c>
      <c r="AI96" s="40">
        <f t="shared" si="64"/>
        <v>3.537302123923397E-2</v>
      </c>
      <c r="AJ96" s="39">
        <f t="shared" si="65"/>
        <v>4.0254193889599363E-4</v>
      </c>
      <c r="AK96" s="37">
        <f t="shared" si="56"/>
        <v>3.3271464229335961E-2</v>
      </c>
      <c r="AL96" s="37">
        <f t="shared" si="57"/>
        <v>4.7466666666666673E-3</v>
      </c>
      <c r="AM96" s="37">
        <f t="shared" si="58"/>
        <v>0.85400000000000009</v>
      </c>
      <c r="AN96" s="40">
        <f t="shared" si="66"/>
        <v>0.85874666666666677</v>
      </c>
      <c r="AO96" s="39">
        <f t="shared" si="59"/>
        <v>8.584710024380689E-3</v>
      </c>
      <c r="AP96" s="37">
        <f t="shared" si="60"/>
        <v>2.1600000000000001E-2</v>
      </c>
      <c r="AQ96" s="40">
        <f t="shared" si="61"/>
        <v>2.2499999999999998E-3</v>
      </c>
      <c r="AR96" s="39">
        <f t="shared" si="67"/>
        <v>0.93298601175899198</v>
      </c>
      <c r="AS96" s="37">
        <f t="shared" si="68"/>
        <v>1.0086666666666668</v>
      </c>
      <c r="AT96" s="40">
        <f t="shared" si="69"/>
        <v>51.948872106442813</v>
      </c>
    </row>
    <row r="97" spans="17:46" x14ac:dyDescent="0.2">
      <c r="Q97">
        <v>90</v>
      </c>
      <c r="R97" s="39">
        <f t="shared" si="45"/>
        <v>170</v>
      </c>
      <c r="S97" s="37">
        <f t="shared" si="46"/>
        <v>6.0000000000000001E-3</v>
      </c>
      <c r="T97" s="37">
        <f t="shared" si="47"/>
        <v>5</v>
      </c>
      <c r="U97" s="40">
        <f t="shared" si="48"/>
        <v>0.24</v>
      </c>
      <c r="V97" s="39">
        <f t="shared" si="49"/>
        <v>1</v>
      </c>
      <c r="W97" s="37">
        <f t="shared" si="50"/>
        <v>0.28142494558940578</v>
      </c>
      <c r="X97" s="40">
        <f t="shared" si="51"/>
        <v>1.7056057308448835E-3</v>
      </c>
      <c r="Y97" s="39">
        <f t="shared" si="52"/>
        <v>1.4071247279470291</v>
      </c>
      <c r="Z97" s="37">
        <f t="shared" si="71"/>
        <v>1.4071247279470291</v>
      </c>
      <c r="AA97" s="37">
        <f t="shared" si="72"/>
        <v>0.43228019139369028</v>
      </c>
      <c r="AB97" s="37">
        <v>0</v>
      </c>
      <c r="AC97" s="37">
        <f t="shared" si="53"/>
        <v>6.5403157354977934E-3</v>
      </c>
      <c r="AD97" s="40">
        <f t="shared" si="62"/>
        <v>6.5403157354977934E-3</v>
      </c>
      <c r="AE97" s="39">
        <f t="shared" si="70"/>
        <v>6.7541986941457383E-2</v>
      </c>
      <c r="AF97" s="37">
        <f t="shared" si="63"/>
        <v>0.43097617577890296</v>
      </c>
      <c r="AG97" s="37">
        <f t="shared" si="54"/>
        <v>2.1731634298413917E-3</v>
      </c>
      <c r="AH97" s="37">
        <f t="shared" si="55"/>
        <v>3.3609414340494088E-2</v>
      </c>
      <c r="AI97" s="40">
        <f t="shared" si="64"/>
        <v>3.5782577770335479E-2</v>
      </c>
      <c r="AJ97" s="39">
        <f t="shared" si="65"/>
        <v>4.0934537540277205E-4</v>
      </c>
      <c r="AK97" s="37">
        <f t="shared" si="56"/>
        <v>3.355144978026469E-2</v>
      </c>
      <c r="AL97" s="37">
        <f t="shared" si="57"/>
        <v>4.8000000000000004E-3</v>
      </c>
      <c r="AM97" s="37">
        <f t="shared" si="58"/>
        <v>0.85400000000000009</v>
      </c>
      <c r="AN97" s="40">
        <f t="shared" si="66"/>
        <v>0.85880000000000012</v>
      </c>
      <c r="AO97" s="39">
        <f t="shared" si="59"/>
        <v>8.7298018121833697E-3</v>
      </c>
      <c r="AP97" s="37">
        <f t="shared" si="60"/>
        <v>2.1600000000000001E-2</v>
      </c>
      <c r="AQ97" s="40">
        <f t="shared" si="61"/>
        <v>2.2499999999999998E-3</v>
      </c>
      <c r="AR97" s="39">
        <f t="shared" si="67"/>
        <v>0.93370269531801675</v>
      </c>
      <c r="AS97" s="37">
        <f t="shared" si="68"/>
        <v>1.02</v>
      </c>
      <c r="AT97" s="40">
        <f t="shared" si="69"/>
        <v>52.208557752640459</v>
      </c>
    </row>
    <row r="98" spans="17:46" x14ac:dyDescent="0.2">
      <c r="Q98">
        <v>91</v>
      </c>
      <c r="R98" s="39">
        <f t="shared" si="45"/>
        <v>170</v>
      </c>
      <c r="S98" s="37">
        <f t="shared" si="46"/>
        <v>6.0666666666666673E-3</v>
      </c>
      <c r="T98" s="37">
        <f t="shared" si="47"/>
        <v>5</v>
      </c>
      <c r="U98" s="40">
        <f t="shared" si="48"/>
        <v>0.2426666666666667</v>
      </c>
      <c r="V98" s="39">
        <f t="shared" si="49"/>
        <v>1</v>
      </c>
      <c r="W98" s="37">
        <f t="shared" si="50"/>
        <v>0.28298409849318384</v>
      </c>
      <c r="X98" s="40">
        <f t="shared" si="51"/>
        <v>1.7150551423829323E-3</v>
      </c>
      <c r="Y98" s="39">
        <f t="shared" si="52"/>
        <v>1.4149204924659193</v>
      </c>
      <c r="Z98" s="37">
        <f t="shared" si="71"/>
        <v>1.4149204924659193</v>
      </c>
      <c r="AA98" s="37">
        <f t="shared" si="72"/>
        <v>0.43587754609844442</v>
      </c>
      <c r="AB98" s="37">
        <v>0</v>
      </c>
      <c r="AC98" s="37">
        <f t="shared" si="53"/>
        <v>6.6496232317480542E-3</v>
      </c>
      <c r="AD98" s="40">
        <f t="shared" si="62"/>
        <v>6.6496232317480542E-3</v>
      </c>
      <c r="AE98" s="39">
        <f t="shared" si="70"/>
        <v>6.8670807901012626E-2</v>
      </c>
      <c r="AF98" s="37">
        <f t="shared" si="63"/>
        <v>0.43456267871020016</v>
      </c>
      <c r="AG98" s="37">
        <f t="shared" si="54"/>
        <v>2.2094832442150804E-3</v>
      </c>
      <c r="AH98" s="37">
        <f t="shared" si="55"/>
        <v>3.3982852277610699E-2</v>
      </c>
      <c r="AI98" s="40">
        <f t="shared" si="64"/>
        <v>3.6192335521825783E-2</v>
      </c>
      <c r="AJ98" s="39">
        <f t="shared" si="65"/>
        <v>4.1618671455159165E-4</v>
      </c>
      <c r="AK98" s="37">
        <f t="shared" si="56"/>
        <v>3.3830658654789396E-2</v>
      </c>
      <c r="AL98" s="37">
        <f t="shared" si="57"/>
        <v>4.8533333333333345E-3</v>
      </c>
      <c r="AM98" s="37">
        <f t="shared" si="58"/>
        <v>0.85400000000000009</v>
      </c>
      <c r="AN98" s="40">
        <f t="shared" si="66"/>
        <v>0.85885333333333347</v>
      </c>
      <c r="AO98" s="39">
        <f t="shared" si="59"/>
        <v>8.8757019212058787E-3</v>
      </c>
      <c r="AP98" s="37">
        <f t="shared" si="60"/>
        <v>2.1600000000000001E-2</v>
      </c>
      <c r="AQ98" s="40">
        <f t="shared" si="61"/>
        <v>2.2499999999999998E-3</v>
      </c>
      <c r="AR98" s="39">
        <f t="shared" si="67"/>
        <v>0.93442099400811307</v>
      </c>
      <c r="AS98" s="37">
        <f t="shared" si="68"/>
        <v>1.0313333333333334</v>
      </c>
      <c r="AT98" s="40">
        <f t="shared" si="69"/>
        <v>52.465016558205626</v>
      </c>
    </row>
    <row r="99" spans="17:46" x14ac:dyDescent="0.2">
      <c r="Q99">
        <v>92</v>
      </c>
      <c r="R99" s="39">
        <f t="shared" si="45"/>
        <v>170</v>
      </c>
      <c r="S99" s="37">
        <f t="shared" si="46"/>
        <v>6.1333333333333335E-3</v>
      </c>
      <c r="T99" s="37">
        <f t="shared" si="47"/>
        <v>5</v>
      </c>
      <c r="U99" s="40">
        <f t="shared" si="48"/>
        <v>0.24533333333333332</v>
      </c>
      <c r="V99" s="39">
        <f t="shared" si="49"/>
        <v>1</v>
      </c>
      <c r="W99" s="37">
        <f t="shared" si="50"/>
        <v>0.28453470790045982</v>
      </c>
      <c r="X99" s="40">
        <f t="shared" si="51"/>
        <v>1.7244527751543019E-3</v>
      </c>
      <c r="Y99" s="39">
        <f t="shared" si="52"/>
        <v>1.4226735395022994</v>
      </c>
      <c r="Z99" s="37">
        <f t="shared" si="71"/>
        <v>1.4226735395022994</v>
      </c>
      <c r="AA99" s="37">
        <f t="shared" si="72"/>
        <v>0.43946503130034631</v>
      </c>
      <c r="AB99" s="37">
        <v>0</v>
      </c>
      <c r="AC99" s="37">
        <f t="shared" si="53"/>
        <v>6.7595329807535031E-3</v>
      </c>
      <c r="AD99" s="40">
        <f t="shared" si="62"/>
        <v>6.7595329807535031E-3</v>
      </c>
      <c r="AE99" s="39">
        <f t="shared" si="70"/>
        <v>6.9805848338246143E-2</v>
      </c>
      <c r="AF99" s="37">
        <f t="shared" si="63"/>
        <v>0.43813934191096893</v>
      </c>
      <c r="AG99" s="37">
        <f t="shared" si="54"/>
        <v>2.2460031702830705E-3</v>
      </c>
      <c r="AH99" s="37">
        <f t="shared" si="55"/>
        <v>3.4356290214727296E-2</v>
      </c>
      <c r="AI99" s="40">
        <f t="shared" si="64"/>
        <v>3.6602293385010365E-2</v>
      </c>
      <c r="AJ99" s="39">
        <f t="shared" si="65"/>
        <v>4.2306574750452201E-4</v>
      </c>
      <c r="AK99" s="37">
        <f t="shared" si="56"/>
        <v>3.4109101507331381E-2</v>
      </c>
      <c r="AL99" s="37">
        <f t="shared" si="57"/>
        <v>4.9066666666666668E-3</v>
      </c>
      <c r="AM99" s="37">
        <f t="shared" si="58"/>
        <v>0.85400000000000009</v>
      </c>
      <c r="AN99" s="40">
        <f t="shared" si="66"/>
        <v>0.85890666666666671</v>
      </c>
      <c r="AO99" s="39">
        <f t="shared" si="59"/>
        <v>9.0224058977183171E-3</v>
      </c>
      <c r="AP99" s="37">
        <f t="shared" si="60"/>
        <v>2.1600000000000001E-2</v>
      </c>
      <c r="AQ99" s="40">
        <f t="shared" si="61"/>
        <v>2.2499999999999998E-3</v>
      </c>
      <c r="AR99" s="39">
        <f t="shared" si="67"/>
        <v>0.93514089893014885</v>
      </c>
      <c r="AS99" s="37">
        <f t="shared" si="68"/>
        <v>1.0426666666666666</v>
      </c>
      <c r="AT99" s="40">
        <f t="shared" si="69"/>
        <v>52.718307119633025</v>
      </c>
    </row>
    <row r="100" spans="17:46" x14ac:dyDescent="0.2">
      <c r="Q100">
        <v>93</v>
      </c>
      <c r="R100" s="39">
        <f t="shared" si="45"/>
        <v>170</v>
      </c>
      <c r="S100" s="37">
        <f t="shared" si="46"/>
        <v>6.2000000000000006E-3</v>
      </c>
      <c r="T100" s="37">
        <f t="shared" si="47"/>
        <v>5</v>
      </c>
      <c r="U100" s="40">
        <f t="shared" si="48"/>
        <v>0.248</v>
      </c>
      <c r="V100" s="39">
        <f t="shared" si="49"/>
        <v>1</v>
      </c>
      <c r="W100" s="37">
        <f t="shared" si="50"/>
        <v>0.28607691273501956</v>
      </c>
      <c r="X100" s="40">
        <f t="shared" si="51"/>
        <v>1.7337994711213304E-3</v>
      </c>
      <c r="Y100" s="39">
        <f t="shared" si="52"/>
        <v>1.430384563675098</v>
      </c>
      <c r="Z100" s="37">
        <f t="shared" si="71"/>
        <v>1.430384563675098</v>
      </c>
      <c r="AA100" s="37">
        <f t="shared" si="72"/>
        <v>0.44304278091916605</v>
      </c>
      <c r="AB100" s="37">
        <v>0</v>
      </c>
      <c r="AC100" s="37">
        <f t="shared" si="53"/>
        <v>6.8700417003605858E-3</v>
      </c>
      <c r="AD100" s="40">
        <f t="shared" si="62"/>
        <v>6.8700417003605858E-3</v>
      </c>
      <c r="AE100" s="39">
        <f t="shared" si="70"/>
        <v>7.0947074358284845E-2</v>
      </c>
      <c r="AF100" s="37">
        <f t="shared" si="63"/>
        <v>0.44170629889699714</v>
      </c>
      <c r="AG100" s="37">
        <f t="shared" si="54"/>
        <v>2.2827221174778157E-3</v>
      </c>
      <c r="AH100" s="37">
        <f t="shared" si="55"/>
        <v>3.47297281518439E-2</v>
      </c>
      <c r="AI100" s="40">
        <f t="shared" si="64"/>
        <v>3.7012450269321713E-2</v>
      </c>
      <c r="AJ100" s="39">
        <f t="shared" si="65"/>
        <v>4.2998226883808995E-4</v>
      </c>
      <c r="AK100" s="37">
        <f t="shared" si="56"/>
        <v>3.4386788732080634E-2</v>
      </c>
      <c r="AL100" s="37">
        <f t="shared" si="57"/>
        <v>4.9600000000000009E-3</v>
      </c>
      <c r="AM100" s="37">
        <f t="shared" si="58"/>
        <v>0.85400000000000009</v>
      </c>
      <c r="AN100" s="40">
        <f t="shared" si="66"/>
        <v>0.85896000000000006</v>
      </c>
      <c r="AO100" s="39">
        <f t="shared" si="59"/>
        <v>9.1699093608083194E-3</v>
      </c>
      <c r="AP100" s="37">
        <f t="shared" si="60"/>
        <v>2.1600000000000001E-2</v>
      </c>
      <c r="AQ100" s="40">
        <f t="shared" si="61"/>
        <v>2.2499999999999998E-3</v>
      </c>
      <c r="AR100" s="39">
        <f t="shared" si="67"/>
        <v>0.93586240133049059</v>
      </c>
      <c r="AS100" s="37">
        <f t="shared" si="68"/>
        <v>1.054</v>
      </c>
      <c r="AT100" s="40">
        <f t="shared" si="69"/>
        <v>52.968486629792054</v>
      </c>
    </row>
    <row r="101" spans="17:46" x14ac:dyDescent="0.2">
      <c r="Q101">
        <v>94</v>
      </c>
      <c r="R101" s="39">
        <f t="shared" si="45"/>
        <v>170</v>
      </c>
      <c r="S101" s="37">
        <f t="shared" si="46"/>
        <v>6.2666666666666669E-3</v>
      </c>
      <c r="T101" s="37">
        <f t="shared" si="47"/>
        <v>5</v>
      </c>
      <c r="U101" s="40">
        <f t="shared" si="48"/>
        <v>0.2506666666666667</v>
      </c>
      <c r="V101" s="39">
        <f t="shared" si="49"/>
        <v>1</v>
      </c>
      <c r="W101" s="37">
        <f t="shared" si="50"/>
        <v>0.28761084819596078</v>
      </c>
      <c r="X101" s="40">
        <f t="shared" si="51"/>
        <v>1.7430960496724892E-3</v>
      </c>
      <c r="Y101" s="39">
        <f t="shared" si="52"/>
        <v>1.4380542409798041</v>
      </c>
      <c r="Z101" s="37">
        <f t="shared" si="71"/>
        <v>1.4380542409798041</v>
      </c>
      <c r="AA101" s="37">
        <f t="shared" si="72"/>
        <v>0.44661092563884947</v>
      </c>
      <c r="AB101" s="37">
        <v>0</v>
      </c>
      <c r="AC101" s="37">
        <f t="shared" si="53"/>
        <v>6.9811461614996476E-3</v>
      </c>
      <c r="AD101" s="40">
        <f t="shared" si="62"/>
        <v>6.9811461614996476E-3</v>
      </c>
      <c r="AE101" s="39">
        <f t="shared" si="70"/>
        <v>7.2094452614454185E-2</v>
      </c>
      <c r="AF101" s="37">
        <f t="shared" si="63"/>
        <v>0.44526367995800986</v>
      </c>
      <c r="AG101" s="37">
        <f t="shared" si="54"/>
        <v>2.3196390128700636E-3</v>
      </c>
      <c r="AH101" s="37">
        <f t="shared" si="55"/>
        <v>3.5103166088960504E-2</v>
      </c>
      <c r="AI101" s="40">
        <f t="shared" si="64"/>
        <v>3.7422805101830568E-2</v>
      </c>
      <c r="AJ101" s="39">
        <f t="shared" si="65"/>
        <v>4.3693607645123734E-4</v>
      </c>
      <c r="AK101" s="37">
        <f t="shared" si="56"/>
        <v>3.4663730472078491E-2</v>
      </c>
      <c r="AL101" s="37">
        <f t="shared" si="57"/>
        <v>5.0133333333333341E-3</v>
      </c>
      <c r="AM101" s="37">
        <f t="shared" si="58"/>
        <v>0.85400000000000009</v>
      </c>
      <c r="AN101" s="40">
        <f t="shared" si="66"/>
        <v>0.85901333333333341</v>
      </c>
      <c r="AO101" s="39">
        <f t="shared" si="59"/>
        <v>9.3182080004182034E-3</v>
      </c>
      <c r="AP101" s="37">
        <f t="shared" si="60"/>
        <v>2.1600000000000001E-2</v>
      </c>
      <c r="AQ101" s="40">
        <f t="shared" si="61"/>
        <v>2.2499999999999998E-3</v>
      </c>
      <c r="AR101" s="39">
        <f t="shared" si="67"/>
        <v>0.93658549259708179</v>
      </c>
      <c r="AS101" s="37">
        <f t="shared" si="68"/>
        <v>1.0653333333333335</v>
      </c>
      <c r="AT101" s="40">
        <f t="shared" si="69"/>
        <v>53.215610919598952</v>
      </c>
    </row>
    <row r="102" spans="17:46" x14ac:dyDescent="0.2">
      <c r="Q102">
        <v>95</v>
      </c>
      <c r="R102" s="39">
        <f t="shared" si="45"/>
        <v>170</v>
      </c>
      <c r="S102" s="37">
        <f t="shared" si="46"/>
        <v>6.333333333333334E-3</v>
      </c>
      <c r="T102" s="37">
        <f t="shared" si="47"/>
        <v>5</v>
      </c>
      <c r="U102" s="40">
        <f t="shared" si="48"/>
        <v>0.25333333333333341</v>
      </c>
      <c r="V102" s="39">
        <f t="shared" si="49"/>
        <v>1</v>
      </c>
      <c r="W102" s="37">
        <f t="shared" si="50"/>
        <v>0.28913664589601917</v>
      </c>
      <c r="X102" s="40">
        <f t="shared" si="51"/>
        <v>1.7523433084607222E-3</v>
      </c>
      <c r="Y102" s="39">
        <f t="shared" si="52"/>
        <v>1.4456832294800961</v>
      </c>
      <c r="Z102" s="37">
        <f t="shared" si="71"/>
        <v>1.4456832294800961</v>
      </c>
      <c r="AA102" s="37">
        <f t="shared" si="72"/>
        <v>0.4501695930192543</v>
      </c>
      <c r="AB102" s="37">
        <v>0</v>
      </c>
      <c r="AC102" s="37">
        <f t="shared" si="53"/>
        <v>7.0928431867692378E-3</v>
      </c>
      <c r="AD102" s="40">
        <f t="shared" si="62"/>
        <v>7.0928431867692378E-3</v>
      </c>
      <c r="AE102" s="39">
        <f t="shared" si="70"/>
        <v>7.3247950293658215E-2</v>
      </c>
      <c r="AF102" s="37">
        <f t="shared" si="63"/>
        <v>0.44881161226906785</v>
      </c>
      <c r="AG102" s="37">
        <f t="shared" si="54"/>
        <v>2.3567528006984534E-3</v>
      </c>
      <c r="AH102" s="37">
        <f t="shared" si="55"/>
        <v>3.5476604026077108E-2</v>
      </c>
      <c r="AI102" s="40">
        <f t="shared" si="64"/>
        <v>3.7833356826775563E-2</v>
      </c>
      <c r="AJ102" s="39">
        <f t="shared" si="65"/>
        <v>4.4392697147671643E-4</v>
      </c>
      <c r="AK102" s="37">
        <f t="shared" si="56"/>
        <v>3.4939936627890009E-2</v>
      </c>
      <c r="AL102" s="37">
        <f t="shared" si="57"/>
        <v>5.0666666666666672E-3</v>
      </c>
      <c r="AM102" s="37">
        <f t="shared" si="58"/>
        <v>0.85400000000000009</v>
      </c>
      <c r="AN102" s="40">
        <f t="shared" si="66"/>
        <v>0.85906666666666676</v>
      </c>
      <c r="AO102" s="39">
        <f t="shared" si="59"/>
        <v>9.4672975754553253E-3</v>
      </c>
      <c r="AP102" s="37">
        <f t="shared" si="60"/>
        <v>2.1600000000000001E-2</v>
      </c>
      <c r="AQ102" s="40">
        <f t="shared" si="61"/>
        <v>2.2499999999999998E-3</v>
      </c>
      <c r="AR102" s="39">
        <f t="shared" si="67"/>
        <v>0.93731016425566682</v>
      </c>
      <c r="AS102" s="37">
        <f t="shared" si="68"/>
        <v>1.0766666666666669</v>
      </c>
      <c r="AT102" s="40">
        <f t="shared" si="69"/>
        <v>53.459734498216136</v>
      </c>
    </row>
    <row r="103" spans="17:46" x14ac:dyDescent="0.2">
      <c r="Q103">
        <v>96</v>
      </c>
      <c r="R103" s="39">
        <f t="shared" si="45"/>
        <v>170</v>
      </c>
      <c r="S103" s="37">
        <f t="shared" ref="S103:S134" si="73">Q103*$O$12</f>
        <v>6.4000000000000003E-3</v>
      </c>
      <c r="T103" s="37">
        <f t="shared" si="47"/>
        <v>5</v>
      </c>
      <c r="U103" s="40">
        <f t="shared" ref="U103:U134" si="74">(R103*S103)/(T103*EFF_est)</f>
        <v>0.25600000000000001</v>
      </c>
      <c r="V103" s="39">
        <f t="shared" ref="V103:V134" si="75">IF((S103*R103/T103)&lt;((T103*(1-(T103/R103)))/(2*Lm*Fsw)),1,2)</f>
        <v>1</v>
      </c>
      <c r="W103" s="37">
        <f t="shared" ref="W103:W134" si="76">CHOOSE(V103,SQRT((2*S103*Lm*Fsw*(R103-T103))/((T103)^2)),1-(T103/R103))</f>
        <v>0.29065443399335922</v>
      </c>
      <c r="X103" s="40">
        <f t="shared" ref="X103:X134" si="77">CHOOSE(V103,(Lm*W103*Fsw)/(R103-T103),1-W103)</f>
        <v>1.7615420242021768E-3</v>
      </c>
      <c r="Y103" s="39">
        <f t="shared" ref="Y103:Y134" si="78">(T103*W103)/(Lm*Fsw)</f>
        <v>1.4532721699667963</v>
      </c>
      <c r="Z103" s="37">
        <f t="shared" si="71"/>
        <v>1.4532721699667963</v>
      </c>
      <c r="AA103" s="37">
        <f t="shared" si="72"/>
        <v>0.45371890760289391</v>
      </c>
      <c r="AB103" s="37">
        <v>0</v>
      </c>
      <c r="AC103" s="37">
        <f t="shared" ref="AC103:AC134" si="79">(AA103^2)*Rdcr</f>
        <v>7.2051296490727185E-3</v>
      </c>
      <c r="AD103" s="40">
        <f t="shared" si="62"/>
        <v>7.2051296490727185E-3</v>
      </c>
      <c r="AE103" s="39">
        <f t="shared" si="70"/>
        <v>7.4407535102299957E-2</v>
      </c>
      <c r="AF103" s="37">
        <f t="shared" si="63"/>
        <v>0.45235021999698971</v>
      </c>
      <c r="AG103" s="37">
        <f t="shared" ref="AG103:AG134" si="80">(AF103^2)*RDS_on</f>
        <v>2.3940624419165023E-3</v>
      </c>
      <c r="AH103" s="37">
        <f t="shared" ref="AH103:AH134" si="81">((R103*U103)/2)*Fsw*(tr_sw+tf_sw)</f>
        <v>3.5850041963193698E-2</v>
      </c>
      <c r="AI103" s="40">
        <f t="shared" si="64"/>
        <v>3.8244104405110196E-2</v>
      </c>
      <c r="AJ103" s="39">
        <f t="shared" si="65"/>
        <v>4.5095475819575726E-4</v>
      </c>
      <c r="AK103" s="37">
        <f t="shared" ref="AK103:AK134" si="82">CHOOSE(V103,Z103*SQRT(X103/3),SQRT(X103*((Z103^2)+((Y103^2)/3)-(Y103*Z103))))</f>
        <v>3.5215416865888909E-2</v>
      </c>
      <c r="AL103" s="37">
        <f t="shared" ref="AL103:AL134" si="83">S103*Vd_rect</f>
        <v>5.1200000000000004E-3</v>
      </c>
      <c r="AM103" s="37">
        <f t="shared" ref="AM103:AM134" si="84">CHOOSE(V103,(R103+Vd_rect)*Qrr*Fsw,(R103+Vd_rect)*Qrr*Fsw)</f>
        <v>0.85400000000000009</v>
      </c>
      <c r="AN103" s="40">
        <f t="shared" si="66"/>
        <v>0.85912000000000011</v>
      </c>
      <c r="AO103" s="39">
        <f t="shared" ref="AO103:AO134" si="85">(AF103^2)*R_cs</f>
        <v>9.6171739119722752E-3</v>
      </c>
      <c r="AP103" s="37">
        <f t="shared" ref="AP103:AP134" si="86">Qg_tot*Vcc*Fsw</f>
        <v>2.1600000000000001E-2</v>
      </c>
      <c r="AQ103" s="40">
        <f t="shared" ref="AQ103:AQ134" si="87">IQ*T103</f>
        <v>2.2499999999999998E-3</v>
      </c>
      <c r="AR103" s="39">
        <f t="shared" si="67"/>
        <v>0.93803640796615517</v>
      </c>
      <c r="AS103" s="37">
        <f t="shared" si="68"/>
        <v>1.0880000000000001</v>
      </c>
      <c r="AT103" s="40">
        <f t="shared" si="69"/>
        <v>53.700910591838436</v>
      </c>
    </row>
    <row r="104" spans="17:46" x14ac:dyDescent="0.2">
      <c r="Q104">
        <v>97</v>
      </c>
      <c r="R104" s="39">
        <f t="shared" si="45"/>
        <v>170</v>
      </c>
      <c r="S104" s="37">
        <f t="shared" si="73"/>
        <v>6.4666666666666666E-3</v>
      </c>
      <c r="T104" s="37">
        <f t="shared" si="47"/>
        <v>5</v>
      </c>
      <c r="U104" s="40">
        <f t="shared" si="74"/>
        <v>0.25866666666666666</v>
      </c>
      <c r="V104" s="39">
        <f t="shared" si="75"/>
        <v>1</v>
      </c>
      <c r="W104" s="37">
        <f t="shared" si="76"/>
        <v>0.29216433731720232</v>
      </c>
      <c r="X104" s="40">
        <f t="shared" si="77"/>
        <v>1.7706929534375894E-3</v>
      </c>
      <c r="Y104" s="39">
        <f t="shared" si="78"/>
        <v>1.4608216865860117</v>
      </c>
      <c r="Z104" s="37">
        <f t="shared" si="71"/>
        <v>1.4608216865860117</v>
      </c>
      <c r="AA104" s="37">
        <f t="shared" si="72"/>
        <v>0.45725899101696021</v>
      </c>
      <c r="AB104" s="37">
        <v>0</v>
      </c>
      <c r="AC104" s="37">
        <f t="shared" si="79"/>
        <v>7.3180024703046985E-3</v>
      </c>
      <c r="AD104" s="40">
        <f t="shared" si="62"/>
        <v>7.3180024703046985E-3</v>
      </c>
      <c r="AE104" s="39">
        <f t="shared" si="70"/>
        <v>7.5573175252716326E-2</v>
      </c>
      <c r="AF104" s="37">
        <f t="shared" si="63"/>
        <v>0.4558796244020672</v>
      </c>
      <c r="AG104" s="37">
        <f t="shared" si="80"/>
        <v>2.4315669137561472E-3</v>
      </c>
      <c r="AH104" s="37">
        <f t="shared" si="81"/>
        <v>3.6223479900310301E-2</v>
      </c>
      <c r="AI104" s="40">
        <f t="shared" si="64"/>
        <v>3.8655046814066452E-2</v>
      </c>
      <c r="AJ104" s="39">
        <f t="shared" si="65"/>
        <v>4.5801924395585643E-4</v>
      </c>
      <c r="AK104" s="37">
        <f t="shared" si="82"/>
        <v>3.5490180626176093E-2</v>
      </c>
      <c r="AL104" s="37">
        <f t="shared" si="83"/>
        <v>5.1733333333333336E-3</v>
      </c>
      <c r="AM104" s="37">
        <f t="shared" si="84"/>
        <v>0.85400000000000009</v>
      </c>
      <c r="AN104" s="40">
        <f t="shared" si="66"/>
        <v>0.85917333333333346</v>
      </c>
      <c r="AO104" s="39">
        <f t="shared" si="85"/>
        <v>9.7678329014135833E-3</v>
      </c>
      <c r="AP104" s="37">
        <f t="shared" si="86"/>
        <v>2.1600000000000001E-2</v>
      </c>
      <c r="AQ104" s="40">
        <f t="shared" si="87"/>
        <v>2.2499999999999998E-3</v>
      </c>
      <c r="AR104" s="39">
        <f t="shared" si="67"/>
        <v>0.93876421551911815</v>
      </c>
      <c r="AS104" s="37">
        <f t="shared" si="68"/>
        <v>1.0993333333333333</v>
      </c>
      <c r="AT104" s="40">
        <f t="shared" si="69"/>
        <v>53.939191181124357</v>
      </c>
    </row>
    <row r="105" spans="17:46" x14ac:dyDescent="0.2">
      <c r="Q105">
        <v>98</v>
      </c>
      <c r="R105" s="39">
        <f t="shared" si="45"/>
        <v>170</v>
      </c>
      <c r="S105" s="37">
        <f t="shared" si="73"/>
        <v>6.5333333333333337E-3</v>
      </c>
      <c r="T105" s="37">
        <f t="shared" si="47"/>
        <v>5</v>
      </c>
      <c r="U105" s="40">
        <f t="shared" si="74"/>
        <v>0.26133333333333336</v>
      </c>
      <c r="V105" s="39">
        <f t="shared" si="75"/>
        <v>1</v>
      </c>
      <c r="W105" s="37">
        <f t="shared" si="76"/>
        <v>0.29366647748764246</v>
      </c>
      <c r="X105" s="40">
        <f t="shared" si="77"/>
        <v>1.7797968332584387E-3</v>
      </c>
      <c r="Y105" s="39">
        <f t="shared" si="78"/>
        <v>1.4683323874382126</v>
      </c>
      <c r="Z105" s="37">
        <f t="shared" si="71"/>
        <v>1.4683323874382126</v>
      </c>
      <c r="AA105" s="37">
        <f t="shared" si="72"/>
        <v>0.46078996207088496</v>
      </c>
      <c r="AB105" s="37">
        <v>0</v>
      </c>
      <c r="AC105" s="37">
        <f t="shared" si="79"/>
        <v>7.4314586200850668E-3</v>
      </c>
      <c r="AD105" s="40">
        <f t="shared" si="62"/>
        <v>7.4314586200850668E-3</v>
      </c>
      <c r="AE105" s="39">
        <f t="shared" si="70"/>
        <v>7.6744839450103908E-2</v>
      </c>
      <c r="AF105" s="37">
        <f t="shared" si="63"/>
        <v>0.45939994393533162</v>
      </c>
      <c r="AG105" s="37">
        <f t="shared" si="80"/>
        <v>2.4692652093070942E-3</v>
      </c>
      <c r="AH105" s="37">
        <f t="shared" si="81"/>
        <v>3.6596917837426905E-2</v>
      </c>
      <c r="AI105" s="40">
        <f t="shared" si="64"/>
        <v>3.9066183046733996E-2</v>
      </c>
      <c r="AJ105" s="39">
        <f t="shared" si="65"/>
        <v>4.6512023909153869E-4</v>
      </c>
      <c r="AK105" s="37">
        <f t="shared" si="82"/>
        <v>3.5764237130151845E-2</v>
      </c>
      <c r="AL105" s="37">
        <f t="shared" si="83"/>
        <v>5.2266666666666677E-3</v>
      </c>
      <c r="AM105" s="37">
        <f t="shared" si="84"/>
        <v>0.85400000000000009</v>
      </c>
      <c r="AN105" s="40">
        <f t="shared" si="66"/>
        <v>0.85922666666666681</v>
      </c>
      <c r="AO105" s="39">
        <f t="shared" si="85"/>
        <v>9.9192704989259344E-3</v>
      </c>
      <c r="AP105" s="37">
        <f t="shared" si="86"/>
        <v>2.1600000000000001E-2</v>
      </c>
      <c r="AQ105" s="40">
        <f t="shared" si="87"/>
        <v>2.2499999999999998E-3</v>
      </c>
      <c r="AR105" s="39">
        <f t="shared" si="67"/>
        <v>0.9394935788324118</v>
      </c>
      <c r="AS105" s="37">
        <f t="shared" si="68"/>
        <v>1.1106666666666667</v>
      </c>
      <c r="AT105" s="40">
        <f t="shared" si="69"/>
        <v>54.174627037326673</v>
      </c>
    </row>
    <row r="106" spans="17:46" x14ac:dyDescent="0.2">
      <c r="Q106">
        <v>99</v>
      </c>
      <c r="R106" s="39">
        <f t="shared" si="45"/>
        <v>170</v>
      </c>
      <c r="S106" s="37">
        <f t="shared" si="73"/>
        <v>6.6E-3</v>
      </c>
      <c r="T106" s="37">
        <f t="shared" si="47"/>
        <v>5</v>
      </c>
      <c r="U106" s="40">
        <f t="shared" si="74"/>
        <v>0.26399999999999996</v>
      </c>
      <c r="V106" s="39">
        <f t="shared" si="75"/>
        <v>1</v>
      </c>
      <c r="W106" s="37">
        <f t="shared" si="76"/>
        <v>0.29516097302997224</v>
      </c>
      <c r="X106" s="40">
        <f t="shared" si="77"/>
        <v>1.7888543819998314E-3</v>
      </c>
      <c r="Y106" s="39">
        <f t="shared" si="78"/>
        <v>1.4758048651498614</v>
      </c>
      <c r="Z106" s="37">
        <f t="shared" si="71"/>
        <v>1.4758048651498614</v>
      </c>
      <c r="AA106" s="37">
        <f t="shared" si="72"/>
        <v>0.46431193684966982</v>
      </c>
      <c r="AB106" s="37">
        <v>0</v>
      </c>
      <c r="AC106" s="37">
        <f t="shared" si="79"/>
        <v>7.5454951145382124E-3</v>
      </c>
      <c r="AD106" s="40">
        <f t="shared" si="62"/>
        <v>7.5454951145382124E-3</v>
      </c>
      <c r="AE106" s="39">
        <f t="shared" si="70"/>
        <v>7.7922496879912664E-2</v>
      </c>
      <c r="AF106" s="37">
        <f t="shared" si="63"/>
        <v>0.46291129433160294</v>
      </c>
      <c r="AG106" s="37">
        <f t="shared" si="80"/>
        <v>2.5071563371111914E-3</v>
      </c>
      <c r="AH106" s="37">
        <f t="shared" si="81"/>
        <v>3.6970355774543502E-2</v>
      </c>
      <c r="AI106" s="40">
        <f t="shared" si="64"/>
        <v>3.9477512111654692E-2</v>
      </c>
      <c r="AJ106" s="39">
        <f t="shared" si="65"/>
        <v>4.722575568479554E-4</v>
      </c>
      <c r="AK106" s="37">
        <f t="shared" si="82"/>
        <v>3.6037595387759684E-2</v>
      </c>
      <c r="AL106" s="37">
        <f t="shared" si="83"/>
        <v>5.28E-3</v>
      </c>
      <c r="AM106" s="37">
        <f t="shared" si="84"/>
        <v>0.85400000000000009</v>
      </c>
      <c r="AN106" s="40">
        <f t="shared" si="66"/>
        <v>0.85928000000000004</v>
      </c>
      <c r="AO106" s="39">
        <f t="shared" si="85"/>
        <v>1.0071482721728718E-2</v>
      </c>
      <c r="AP106" s="37">
        <f t="shared" si="86"/>
        <v>2.1600000000000001E-2</v>
      </c>
      <c r="AQ106" s="40">
        <f t="shared" si="87"/>
        <v>2.2499999999999998E-3</v>
      </c>
      <c r="AR106" s="39">
        <f t="shared" si="67"/>
        <v>0.94022448994792163</v>
      </c>
      <c r="AS106" s="37">
        <f t="shared" si="68"/>
        <v>1.1219999999999999</v>
      </c>
      <c r="AT106" s="40">
        <f t="shared" si="69"/>
        <v>54.407267757174893</v>
      </c>
    </row>
    <row r="107" spans="17:46" x14ac:dyDescent="0.2">
      <c r="Q107">
        <v>100</v>
      </c>
      <c r="R107" s="39">
        <f t="shared" si="45"/>
        <v>170</v>
      </c>
      <c r="S107" s="37">
        <f t="shared" si="73"/>
        <v>6.6666666666666671E-3</v>
      </c>
      <c r="T107" s="37">
        <f t="shared" si="47"/>
        <v>5</v>
      </c>
      <c r="U107" s="40">
        <f t="shared" si="74"/>
        <v>0.26666666666666666</v>
      </c>
      <c r="V107" s="39">
        <f t="shared" si="75"/>
        <v>1</v>
      </c>
      <c r="W107" s="37">
        <f t="shared" si="76"/>
        <v>0.29664793948382651</v>
      </c>
      <c r="X107" s="40">
        <f t="shared" si="77"/>
        <v>1.7978662999019784E-3</v>
      </c>
      <c r="Y107" s="39">
        <f t="shared" si="78"/>
        <v>1.4832396974191326</v>
      </c>
      <c r="Z107" s="37">
        <f t="shared" si="71"/>
        <v>1.4832396974191326</v>
      </c>
      <c r="AA107" s="37">
        <f t="shared" si="72"/>
        <v>0.46782502880322069</v>
      </c>
      <c r="AB107" s="37">
        <v>0</v>
      </c>
      <c r="AC107" s="37">
        <f t="shared" si="79"/>
        <v>7.6601090151156995E-3</v>
      </c>
      <c r="AD107" s="40">
        <f t="shared" si="62"/>
        <v>7.6601090151156995E-3</v>
      </c>
      <c r="AE107" s="39">
        <f t="shared" si="70"/>
        <v>7.9106117195687067E-2</v>
      </c>
      <c r="AF107" s="37">
        <f t="shared" si="63"/>
        <v>0.4664137886985541</v>
      </c>
      <c r="AG107" s="37">
        <f t="shared" si="80"/>
        <v>2.545239320771232E-3</v>
      </c>
      <c r="AH107" s="37">
        <f t="shared" si="81"/>
        <v>3.7343793711660113E-2</v>
      </c>
      <c r="AI107" s="40">
        <f t="shared" si="64"/>
        <v>3.9889033032431347E-2</v>
      </c>
      <c r="AJ107" s="39">
        <f t="shared" si="65"/>
        <v>4.7943101330719427E-4</v>
      </c>
      <c r="AK107" s="37">
        <f t="shared" si="82"/>
        <v>3.6310264204419997E-2</v>
      </c>
      <c r="AL107" s="37">
        <f t="shared" si="83"/>
        <v>5.333333333333334E-3</v>
      </c>
      <c r="AM107" s="37">
        <f t="shared" si="84"/>
        <v>0.85400000000000009</v>
      </c>
      <c r="AN107" s="40">
        <f t="shared" si="66"/>
        <v>0.85933333333333339</v>
      </c>
      <c r="AO107" s="39">
        <f t="shared" si="85"/>
        <v>1.0224465647542556E-2</v>
      </c>
      <c r="AP107" s="37">
        <f t="shared" si="86"/>
        <v>2.1600000000000001E-2</v>
      </c>
      <c r="AQ107" s="40">
        <f t="shared" si="87"/>
        <v>2.2499999999999998E-3</v>
      </c>
      <c r="AR107" s="39">
        <f t="shared" si="67"/>
        <v>0.94095694102842287</v>
      </c>
      <c r="AS107" s="37">
        <f t="shared" si="68"/>
        <v>1.1333333333333333</v>
      </c>
      <c r="AT107" s="40">
        <f t="shared" si="69"/>
        <v>54.637161796559631</v>
      </c>
    </row>
    <row r="108" spans="17:46" x14ac:dyDescent="0.2">
      <c r="Q108">
        <v>101</v>
      </c>
      <c r="R108" s="39">
        <f t="shared" si="45"/>
        <v>170</v>
      </c>
      <c r="S108" s="37">
        <f t="shared" si="73"/>
        <v>6.7333333333333334E-3</v>
      </c>
      <c r="T108" s="37">
        <f t="shared" si="47"/>
        <v>5</v>
      </c>
      <c r="U108" s="40">
        <f t="shared" si="74"/>
        <v>0.26933333333333337</v>
      </c>
      <c r="V108" s="39">
        <f t="shared" si="75"/>
        <v>1</v>
      </c>
      <c r="W108" s="37">
        <f t="shared" si="76"/>
        <v>0.29812748950742529</v>
      </c>
      <c r="X108" s="40">
        <f t="shared" si="77"/>
        <v>1.8068332697419715E-3</v>
      </c>
      <c r="Y108" s="39">
        <f t="shared" si="78"/>
        <v>1.4906374475371267</v>
      </c>
      <c r="Z108" s="37">
        <f t="shared" si="71"/>
        <v>1.4906374475371267</v>
      </c>
      <c r="AA108" s="37">
        <f t="shared" si="72"/>
        <v>0.47132934883188476</v>
      </c>
      <c r="AB108" s="37">
        <v>0</v>
      </c>
      <c r="AC108" s="37">
        <f t="shared" si="79"/>
        <v>7.775297427460099E-3</v>
      </c>
      <c r="AD108" s="40">
        <f t="shared" si="62"/>
        <v>7.775297427460099E-3</v>
      </c>
      <c r="AE108" s="39">
        <f t="shared" si="70"/>
        <v>8.0295670507333217E-2</v>
      </c>
      <c r="AF108" s="37">
        <f t="shared" si="63"/>
        <v>0.46990753760199072</v>
      </c>
      <c r="AG108" s="37">
        <f t="shared" si="80"/>
        <v>2.5835131985734458E-3</v>
      </c>
      <c r="AH108" s="37">
        <f t="shared" si="81"/>
        <v>3.7717231648776717E-2</v>
      </c>
      <c r="AI108" s="40">
        <f t="shared" si="64"/>
        <v>4.0300744847350162E-2</v>
      </c>
      <c r="AJ108" s="39">
        <f t="shared" si="65"/>
        <v>4.8664042731717106E-4</v>
      </c>
      <c r="AK108" s="37">
        <f t="shared" si="82"/>
        <v>3.6582252187669098E-2</v>
      </c>
      <c r="AL108" s="37">
        <f t="shared" si="83"/>
        <v>5.3866666666666672E-3</v>
      </c>
      <c r="AM108" s="37">
        <f t="shared" si="84"/>
        <v>0.85400000000000009</v>
      </c>
      <c r="AN108" s="40">
        <f t="shared" si="66"/>
        <v>0.85938666666666674</v>
      </c>
      <c r="AO108" s="39">
        <f t="shared" si="85"/>
        <v>1.0378215413072817E-2</v>
      </c>
      <c r="AP108" s="37">
        <f t="shared" si="86"/>
        <v>2.1600000000000001E-2</v>
      </c>
      <c r="AQ108" s="40">
        <f t="shared" si="87"/>
        <v>2.2499999999999998E-3</v>
      </c>
      <c r="AR108" s="39">
        <f t="shared" si="67"/>
        <v>0.94169092435454971</v>
      </c>
      <c r="AS108" s="37">
        <f t="shared" si="68"/>
        <v>1.1446666666666667</v>
      </c>
      <c r="AT108" s="40">
        <f t="shared" si="69"/>
        <v>54.864356503066325</v>
      </c>
    </row>
    <row r="109" spans="17:46" x14ac:dyDescent="0.2">
      <c r="Q109">
        <v>102</v>
      </c>
      <c r="R109" s="39">
        <f t="shared" si="45"/>
        <v>170</v>
      </c>
      <c r="S109" s="37">
        <f t="shared" si="73"/>
        <v>6.8000000000000005E-3</v>
      </c>
      <c r="T109" s="37">
        <f t="shared" si="47"/>
        <v>5</v>
      </c>
      <c r="U109" s="40">
        <f t="shared" si="74"/>
        <v>0.27200000000000002</v>
      </c>
      <c r="V109" s="39">
        <f t="shared" si="75"/>
        <v>1</v>
      </c>
      <c r="W109" s="37">
        <f t="shared" si="76"/>
        <v>0.29959973297718406</v>
      </c>
      <c r="X109" s="40">
        <f t="shared" si="77"/>
        <v>1.8157559574374788E-3</v>
      </c>
      <c r="Y109" s="39">
        <f t="shared" si="78"/>
        <v>1.4979986648859205</v>
      </c>
      <c r="Z109" s="37">
        <f t="shared" si="71"/>
        <v>1.4979986648859205</v>
      </c>
      <c r="AA109" s="37">
        <f t="shared" si="72"/>
        <v>0.47482500536839561</v>
      </c>
      <c r="AB109" s="37">
        <v>0</v>
      </c>
      <c r="AC109" s="37">
        <f t="shared" si="79"/>
        <v>7.8910575003083919E-3</v>
      </c>
      <c r="AD109" s="40">
        <f t="shared" si="62"/>
        <v>7.8910575003083919E-3</v>
      </c>
      <c r="AE109" s="39">
        <f t="shared" si="70"/>
        <v>8.1491127369794067E-2</v>
      </c>
      <c r="AF109" s="37">
        <f t="shared" si="63"/>
        <v>0.47339264914754825</v>
      </c>
      <c r="AG109" s="37">
        <f t="shared" si="80"/>
        <v>2.6219770231231247E-3</v>
      </c>
      <c r="AH109" s="37">
        <f t="shared" si="81"/>
        <v>3.8090669585893307E-2</v>
      </c>
      <c r="AI109" s="40">
        <f t="shared" si="64"/>
        <v>4.0712646609016433E-2</v>
      </c>
      <c r="AJ109" s="39">
        <f t="shared" si="65"/>
        <v>4.9388562042299424E-4</v>
      </c>
      <c r="AK109" s="37">
        <f t="shared" si="82"/>
        <v>3.6853567753519258E-2</v>
      </c>
      <c r="AL109" s="37">
        <f t="shared" si="83"/>
        <v>5.4400000000000004E-3</v>
      </c>
      <c r="AM109" s="37">
        <f t="shared" si="84"/>
        <v>0.85400000000000009</v>
      </c>
      <c r="AN109" s="40">
        <f t="shared" si="66"/>
        <v>0.85944000000000009</v>
      </c>
      <c r="AO109" s="39">
        <f t="shared" si="85"/>
        <v>1.0532728212545884E-2</v>
      </c>
      <c r="AP109" s="37">
        <f t="shared" si="86"/>
        <v>2.1600000000000001E-2</v>
      </c>
      <c r="AQ109" s="40">
        <f t="shared" si="87"/>
        <v>2.2499999999999998E-3</v>
      </c>
      <c r="AR109" s="39">
        <f t="shared" si="67"/>
        <v>0.94242643232187073</v>
      </c>
      <c r="AS109" s="37">
        <f t="shared" si="68"/>
        <v>1.1560000000000001</v>
      </c>
      <c r="AT109" s="40">
        <f t="shared" si="69"/>
        <v>55.088898147404066</v>
      </c>
    </row>
    <row r="110" spans="17:46" x14ac:dyDescent="0.2">
      <c r="Q110">
        <v>103</v>
      </c>
      <c r="R110" s="39">
        <f t="shared" si="45"/>
        <v>170</v>
      </c>
      <c r="S110" s="37">
        <f t="shared" si="73"/>
        <v>6.8666666666666668E-3</v>
      </c>
      <c r="T110" s="37">
        <f t="shared" si="47"/>
        <v>5</v>
      </c>
      <c r="U110" s="40">
        <f t="shared" si="74"/>
        <v>0.27466666666666667</v>
      </c>
      <c r="V110" s="39">
        <f t="shared" si="75"/>
        <v>1</v>
      </c>
      <c r="W110" s="37">
        <f t="shared" si="76"/>
        <v>0.30106477708293938</v>
      </c>
      <c r="X110" s="40">
        <f t="shared" si="77"/>
        <v>1.8246350126238746E-3</v>
      </c>
      <c r="Y110" s="39">
        <f t="shared" si="78"/>
        <v>1.5053238854146971</v>
      </c>
      <c r="Z110" s="37">
        <f t="shared" si="71"/>
        <v>1.5053238854146971</v>
      </c>
      <c r="AA110" s="37">
        <f t="shared" si="72"/>
        <v>0.4783121044564056</v>
      </c>
      <c r="AB110" s="37">
        <v>0</v>
      </c>
      <c r="AC110" s="37">
        <f t="shared" si="79"/>
        <v>8.0073864244330408E-3</v>
      </c>
      <c r="AD110" s="40">
        <f t="shared" si="62"/>
        <v>8.0073864244330408E-3</v>
      </c>
      <c r="AE110" s="39">
        <f t="shared" si="70"/>
        <v>8.2692458772114022E-2</v>
      </c>
      <c r="AF110" s="37">
        <f t="shared" si="63"/>
        <v>0.47686922905898799</v>
      </c>
      <c r="AG110" s="37">
        <f t="shared" si="80"/>
        <v>2.6606298609927687E-3</v>
      </c>
      <c r="AH110" s="37">
        <f t="shared" si="81"/>
        <v>3.8464107523009911E-2</v>
      </c>
      <c r="AI110" s="40">
        <f t="shared" si="64"/>
        <v>4.1124737384002678E-2</v>
      </c>
      <c r="AJ110" s="39">
        <f t="shared" si="65"/>
        <v>5.011664168006909E-4</v>
      </c>
      <c r="AK110" s="37">
        <f t="shared" si="82"/>
        <v>3.7124219132554155E-2</v>
      </c>
      <c r="AL110" s="37">
        <f t="shared" si="83"/>
        <v>5.4933333333333336E-3</v>
      </c>
      <c r="AM110" s="37">
        <f t="shared" si="84"/>
        <v>0.85400000000000009</v>
      </c>
      <c r="AN110" s="40">
        <f t="shared" si="66"/>
        <v>0.85949333333333344</v>
      </c>
      <c r="AO110" s="39">
        <f t="shared" si="85"/>
        <v>1.0688000296295738E-2</v>
      </c>
      <c r="AP110" s="37">
        <f t="shared" si="86"/>
        <v>2.1600000000000001E-2</v>
      </c>
      <c r="AQ110" s="40">
        <f t="shared" si="87"/>
        <v>2.2499999999999998E-3</v>
      </c>
      <c r="AR110" s="39">
        <f t="shared" si="67"/>
        <v>0.94316345743806473</v>
      </c>
      <c r="AS110" s="37">
        <f t="shared" si="68"/>
        <v>1.1673333333333333</v>
      </c>
      <c r="AT110" s="40">
        <f t="shared" si="69"/>
        <v>55.310831953772677</v>
      </c>
    </row>
    <row r="111" spans="17:46" x14ac:dyDescent="0.2">
      <c r="Q111">
        <v>104</v>
      </c>
      <c r="R111" s="39">
        <f t="shared" si="45"/>
        <v>170</v>
      </c>
      <c r="S111" s="37">
        <f t="shared" si="73"/>
        <v>6.9333333333333339E-3</v>
      </c>
      <c r="T111" s="37">
        <f t="shared" si="47"/>
        <v>5</v>
      </c>
      <c r="U111" s="40">
        <f t="shared" si="74"/>
        <v>0.27733333333333338</v>
      </c>
      <c r="V111" s="39">
        <f t="shared" si="75"/>
        <v>1</v>
      </c>
      <c r="W111" s="37">
        <f t="shared" si="76"/>
        <v>0.30252272641902456</v>
      </c>
      <c r="X111" s="40">
        <f t="shared" si="77"/>
        <v>1.8334710692062095E-3</v>
      </c>
      <c r="Y111" s="39">
        <f t="shared" si="78"/>
        <v>1.5126136320951231</v>
      </c>
      <c r="Z111" s="37">
        <f t="shared" si="71"/>
        <v>1.5126136320951231</v>
      </c>
      <c r="AA111" s="37">
        <f t="shared" si="72"/>
        <v>0.48179074982578352</v>
      </c>
      <c r="AB111" s="37">
        <v>0</v>
      </c>
      <c r="AC111" s="37">
        <f t="shared" si="79"/>
        <v>8.1242814316191767E-3</v>
      </c>
      <c r="AD111" s="40">
        <f t="shared" si="62"/>
        <v>8.1242814316191767E-3</v>
      </c>
      <c r="AE111" s="39">
        <f t="shared" si="70"/>
        <v>8.3899636126876162E-2</v>
      </c>
      <c r="AF111" s="37">
        <f t="shared" si="63"/>
        <v>0.48033738075326743</v>
      </c>
      <c r="AG111" s="37">
        <f t="shared" si="80"/>
        <v>2.6994707923822404E-3</v>
      </c>
      <c r="AH111" s="37">
        <f t="shared" si="81"/>
        <v>3.8837545460126521E-2</v>
      </c>
      <c r="AI111" s="40">
        <f t="shared" si="64"/>
        <v>4.153701625250876E-2</v>
      </c>
      <c r="AJ111" s="39">
        <f t="shared" si="65"/>
        <v>5.084826431931888E-4</v>
      </c>
      <c r="AK111" s="37">
        <f t="shared" si="82"/>
        <v>3.7394214375773019E-2</v>
      </c>
      <c r="AL111" s="37">
        <f t="shared" si="83"/>
        <v>5.5466666666666676E-3</v>
      </c>
      <c r="AM111" s="37">
        <f t="shared" si="84"/>
        <v>0.85400000000000009</v>
      </c>
      <c r="AN111" s="40">
        <f t="shared" si="66"/>
        <v>0.85954666666666679</v>
      </c>
      <c r="AO111" s="39">
        <f t="shared" si="85"/>
        <v>1.0844027969398743E-2</v>
      </c>
      <c r="AP111" s="37">
        <f t="shared" si="86"/>
        <v>2.1600000000000001E-2</v>
      </c>
      <c r="AQ111" s="40">
        <f t="shared" si="87"/>
        <v>2.2499999999999998E-3</v>
      </c>
      <c r="AR111" s="39">
        <f t="shared" si="67"/>
        <v>0.94390199232019334</v>
      </c>
      <c r="AS111" s="37">
        <f t="shared" si="68"/>
        <v>1.1786666666666668</v>
      </c>
      <c r="AT111" s="40">
        <f t="shared" si="69"/>
        <v>55.53020212921006</v>
      </c>
    </row>
    <row r="112" spans="17:46" x14ac:dyDescent="0.2">
      <c r="Q112">
        <v>105</v>
      </c>
      <c r="R112" s="39">
        <f t="shared" si="45"/>
        <v>170</v>
      </c>
      <c r="S112" s="37">
        <f t="shared" si="73"/>
        <v>7.0000000000000001E-3</v>
      </c>
      <c r="T112" s="37">
        <f t="shared" si="47"/>
        <v>5</v>
      </c>
      <c r="U112" s="40">
        <f t="shared" si="74"/>
        <v>0.27999999999999997</v>
      </c>
      <c r="V112" s="39">
        <f t="shared" si="75"/>
        <v>1</v>
      </c>
      <c r="W112" s="37">
        <f t="shared" si="76"/>
        <v>0.30397368307141326</v>
      </c>
      <c r="X112" s="40">
        <f t="shared" si="77"/>
        <v>1.8422647458873531E-3</v>
      </c>
      <c r="Y112" s="39">
        <f t="shared" si="78"/>
        <v>1.5198684153570665</v>
      </c>
      <c r="Z112" s="37">
        <f t="shared" si="71"/>
        <v>1.5198684153570665</v>
      </c>
      <c r="AA112" s="37">
        <f t="shared" si="72"/>
        <v>0.48526104296483707</v>
      </c>
      <c r="AB112" s="37">
        <v>0</v>
      </c>
      <c r="AC112" s="37">
        <f t="shared" si="79"/>
        <v>8.2417397936762511E-3</v>
      </c>
      <c r="AD112" s="40">
        <f t="shared" si="62"/>
        <v>8.2417397936762511E-3</v>
      </c>
      <c r="AE112" s="39">
        <f t="shared" si="70"/>
        <v>8.51126312599957E-2</v>
      </c>
      <c r="AF112" s="37">
        <f t="shared" si="63"/>
        <v>0.48379720541254501</v>
      </c>
      <c r="AG112" s="37">
        <f t="shared" si="80"/>
        <v>2.7384989107903631E-3</v>
      </c>
      <c r="AH112" s="37">
        <f t="shared" si="81"/>
        <v>3.9210983397243104E-2</v>
      </c>
      <c r="AI112" s="40">
        <f t="shared" si="64"/>
        <v>4.194948230803347E-2</v>
      </c>
      <c r="AJ112" s="39">
        <f t="shared" si="65"/>
        <v>5.1583412884845877E-4</v>
      </c>
      <c r="AK112" s="37">
        <f t="shared" si="82"/>
        <v>3.766356136019617E-2</v>
      </c>
      <c r="AL112" s="37">
        <f t="shared" si="83"/>
        <v>5.6000000000000008E-3</v>
      </c>
      <c r="AM112" s="37">
        <f t="shared" si="84"/>
        <v>0.85400000000000009</v>
      </c>
      <c r="AN112" s="40">
        <f t="shared" si="66"/>
        <v>0.85960000000000014</v>
      </c>
      <c r="AO112" s="39">
        <f t="shared" si="85"/>
        <v>1.1000807590354449E-2</v>
      </c>
      <c r="AP112" s="37">
        <f t="shared" si="86"/>
        <v>2.1600000000000001E-2</v>
      </c>
      <c r="AQ112" s="40">
        <f t="shared" si="87"/>
        <v>2.2499999999999998E-3</v>
      </c>
      <c r="AR112" s="39">
        <f t="shared" si="67"/>
        <v>0.94464202969206434</v>
      </c>
      <c r="AS112" s="37">
        <f t="shared" si="68"/>
        <v>1.19</v>
      </c>
      <c r="AT112" s="40">
        <f t="shared" si="69"/>
        <v>55.747051891958911</v>
      </c>
    </row>
    <row r="113" spans="17:46" x14ac:dyDescent="0.2">
      <c r="Q113">
        <v>106</v>
      </c>
      <c r="R113" s="39">
        <f t="shared" si="45"/>
        <v>170</v>
      </c>
      <c r="S113" s="37">
        <f t="shared" si="73"/>
        <v>7.0666666666666673E-3</v>
      </c>
      <c r="T113" s="37">
        <f t="shared" si="47"/>
        <v>5</v>
      </c>
      <c r="U113" s="40">
        <f t="shared" si="74"/>
        <v>0.28266666666666668</v>
      </c>
      <c r="V113" s="39">
        <f t="shared" si="75"/>
        <v>1</v>
      </c>
      <c r="W113" s="37">
        <f t="shared" si="76"/>
        <v>0.30541774670113719</v>
      </c>
      <c r="X113" s="40">
        <f t="shared" si="77"/>
        <v>1.8510166466735587E-3</v>
      </c>
      <c r="Y113" s="39">
        <f t="shared" si="78"/>
        <v>1.5270887335056862</v>
      </c>
      <c r="Z113" s="37">
        <f t="shared" si="71"/>
        <v>1.5270887335056862</v>
      </c>
      <c r="AA113" s="37">
        <f t="shared" si="72"/>
        <v>0.48872308318961666</v>
      </c>
      <c r="AB113" s="37">
        <v>0</v>
      </c>
      <c r="AC113" s="37">
        <f t="shared" si="79"/>
        <v>8.3597588214827743E-3</v>
      </c>
      <c r="AD113" s="40">
        <f t="shared" si="62"/>
        <v>8.3597588214827743E-3</v>
      </c>
      <c r="AE113" s="39">
        <f t="shared" si="70"/>
        <v>8.6331416400854788E-2</v>
      </c>
      <c r="AF113" s="37">
        <f t="shared" si="63"/>
        <v>0.48724880205327409</v>
      </c>
      <c r="AG113" s="37">
        <f t="shared" si="80"/>
        <v>2.7777133226975031E-3</v>
      </c>
      <c r="AH113" s="37">
        <f t="shared" si="81"/>
        <v>3.9584421334359708E-2</v>
      </c>
      <c r="AI113" s="40">
        <f t="shared" si="64"/>
        <v>4.236213465705721E-2</v>
      </c>
      <c r="AJ113" s="39">
        <f t="shared" si="65"/>
        <v>5.2322070545972592E-4</v>
      </c>
      <c r="AK113" s="37">
        <f t="shared" si="82"/>
        <v>3.7932267794244079E-2</v>
      </c>
      <c r="AL113" s="37">
        <f t="shared" si="83"/>
        <v>5.653333333333334E-3</v>
      </c>
      <c r="AM113" s="37">
        <f t="shared" si="84"/>
        <v>0.85400000000000009</v>
      </c>
      <c r="AN113" s="40">
        <f t="shared" si="66"/>
        <v>0.85965333333333338</v>
      </c>
      <c r="AO113" s="39">
        <f t="shared" si="85"/>
        <v>1.1158335569810482E-2</v>
      </c>
      <c r="AP113" s="37">
        <f t="shared" si="86"/>
        <v>2.1600000000000001E-2</v>
      </c>
      <c r="AQ113" s="40">
        <f t="shared" si="87"/>
        <v>2.2499999999999998E-3</v>
      </c>
      <c r="AR113" s="39">
        <f t="shared" si="67"/>
        <v>0.94538356238168375</v>
      </c>
      <c r="AS113" s="37">
        <f t="shared" si="68"/>
        <v>1.2013333333333334</v>
      </c>
      <c r="AT113" s="40">
        <f t="shared" si="69"/>
        <v>55.961423498891293</v>
      </c>
    </row>
    <row r="114" spans="17:46" x14ac:dyDescent="0.2">
      <c r="Q114">
        <v>107</v>
      </c>
      <c r="R114" s="39">
        <f t="shared" si="45"/>
        <v>170</v>
      </c>
      <c r="S114" s="37">
        <f t="shared" si="73"/>
        <v>7.1333333333333335E-3</v>
      </c>
      <c r="T114" s="37">
        <f t="shared" si="47"/>
        <v>5</v>
      </c>
      <c r="U114" s="40">
        <f t="shared" si="74"/>
        <v>0.28533333333333338</v>
      </c>
      <c r="V114" s="39">
        <f t="shared" si="75"/>
        <v>1</v>
      </c>
      <c r="W114" s="37">
        <f t="shared" si="76"/>
        <v>0.30685501462417064</v>
      </c>
      <c r="X114" s="40">
        <f t="shared" si="77"/>
        <v>1.85972736135861E-3</v>
      </c>
      <c r="Y114" s="39">
        <f t="shared" si="78"/>
        <v>1.5342750731208534</v>
      </c>
      <c r="Z114" s="37">
        <f t="shared" si="71"/>
        <v>1.5342750731208534</v>
      </c>
      <c r="AA114" s="37">
        <f t="shared" si="72"/>
        <v>0.49217696771044184</v>
      </c>
      <c r="AB114" s="37">
        <v>0</v>
      </c>
      <c r="AC114" s="37">
        <f t="shared" si="79"/>
        <v>8.4783358640625871E-3</v>
      </c>
      <c r="AD114" s="40">
        <f t="shared" si="62"/>
        <v>8.4783358640625871E-3</v>
      </c>
      <c r="AE114" s="39">
        <f t="shared" si="70"/>
        <v>8.7555964172763373E-2</v>
      </c>
      <c r="AF114" s="37">
        <f t="shared" si="63"/>
        <v>0.49069226759253015</v>
      </c>
      <c r="AG114" s="37">
        <f t="shared" si="80"/>
        <v>2.817113147258661E-3</v>
      </c>
      <c r="AH114" s="37">
        <f t="shared" si="81"/>
        <v>3.9957859271476319E-2</v>
      </c>
      <c r="AI114" s="40">
        <f t="shared" si="64"/>
        <v>4.2774972418734979E-2</v>
      </c>
      <c r="AJ114" s="39">
        <f t="shared" si="65"/>
        <v>5.3064220710765677E-4</v>
      </c>
      <c r="AK114" s="37">
        <f t="shared" si="82"/>
        <v>3.8200341222900822E-2</v>
      </c>
      <c r="AL114" s="37">
        <f t="shared" si="83"/>
        <v>5.7066666666666672E-3</v>
      </c>
      <c r="AM114" s="37">
        <f t="shared" si="84"/>
        <v>0.85400000000000009</v>
      </c>
      <c r="AN114" s="40">
        <f t="shared" si="66"/>
        <v>0.85970666666666673</v>
      </c>
      <c r="AO114" s="39">
        <f t="shared" si="85"/>
        <v>1.1316608369329663E-2</v>
      </c>
      <c r="AP114" s="37">
        <f t="shared" si="86"/>
        <v>2.1600000000000001E-2</v>
      </c>
      <c r="AQ114" s="40">
        <f t="shared" si="87"/>
        <v>2.2499999999999998E-3</v>
      </c>
      <c r="AR114" s="39">
        <f t="shared" si="67"/>
        <v>0.94612658331879385</v>
      </c>
      <c r="AS114" s="37">
        <f t="shared" si="68"/>
        <v>1.2126666666666668</v>
      </c>
      <c r="AT114" s="40">
        <f t="shared" si="69"/>
        <v>56.173358272026931</v>
      </c>
    </row>
    <row r="115" spans="17:46" x14ac:dyDescent="0.2">
      <c r="Q115">
        <v>108</v>
      </c>
      <c r="R115" s="39">
        <f t="shared" si="45"/>
        <v>170</v>
      </c>
      <c r="S115" s="37">
        <f t="shared" si="73"/>
        <v>7.2000000000000007E-3</v>
      </c>
      <c r="T115" s="37">
        <f t="shared" si="47"/>
        <v>5</v>
      </c>
      <c r="U115" s="40">
        <f t="shared" si="74"/>
        <v>0.28800000000000003</v>
      </c>
      <c r="V115" s="39">
        <f t="shared" si="75"/>
        <v>1</v>
      </c>
      <c r="W115" s="37">
        <f t="shared" si="76"/>
        <v>0.30828558188796312</v>
      </c>
      <c r="X115" s="40">
        <f t="shared" si="77"/>
        <v>1.8683974659876549E-3</v>
      </c>
      <c r="Y115" s="39">
        <f t="shared" si="78"/>
        <v>1.5414279094398158</v>
      </c>
      <c r="Z115" s="37">
        <f t="shared" si="71"/>
        <v>1.5414279094398158</v>
      </c>
      <c r="AA115" s="37">
        <f t="shared" si="72"/>
        <v>0.49562279169579065</v>
      </c>
      <c r="AB115" s="37">
        <v>0</v>
      </c>
      <c r="AC115" s="37">
        <f t="shared" si="79"/>
        <v>8.5974683076915186E-3</v>
      </c>
      <c r="AD115" s="40">
        <f t="shared" si="62"/>
        <v>8.5974683076915186E-3</v>
      </c>
      <c r="AE115" s="39">
        <f t="shared" si="70"/>
        <v>8.8786247583733394E-2</v>
      </c>
      <c r="AF115" s="37">
        <f t="shared" si="63"/>
        <v>0.49412769691170605</v>
      </c>
      <c r="AG115" s="37">
        <f t="shared" si="80"/>
        <v>2.856697516006622E-3</v>
      </c>
      <c r="AH115" s="37">
        <f t="shared" si="81"/>
        <v>4.0331297208592923E-2</v>
      </c>
      <c r="AI115" s="40">
        <f t="shared" si="64"/>
        <v>4.3187994724599547E-2</v>
      </c>
      <c r="AJ115" s="39">
        <f t="shared" si="65"/>
        <v>5.380984702044447E-4</v>
      </c>
      <c r="AK115" s="37">
        <f t="shared" si="82"/>
        <v>3.8467789032672818E-2</v>
      </c>
      <c r="AL115" s="37">
        <f t="shared" si="83"/>
        <v>5.7600000000000012E-3</v>
      </c>
      <c r="AM115" s="37">
        <f t="shared" si="84"/>
        <v>0.85400000000000009</v>
      </c>
      <c r="AN115" s="40">
        <f t="shared" si="66"/>
        <v>0.85976000000000008</v>
      </c>
      <c r="AO115" s="39">
        <f t="shared" si="85"/>
        <v>1.1475622500197541E-2</v>
      </c>
      <c r="AP115" s="37">
        <f t="shared" si="86"/>
        <v>2.1600000000000001E-2</v>
      </c>
      <c r="AQ115" s="40">
        <f t="shared" si="87"/>
        <v>2.2499999999999998E-3</v>
      </c>
      <c r="AR115" s="39">
        <f t="shared" si="67"/>
        <v>0.94687108553248855</v>
      </c>
      <c r="AS115" s="37">
        <f t="shared" si="68"/>
        <v>1.2240000000000002</v>
      </c>
      <c r="AT115" s="40">
        <f t="shared" si="69"/>
        <v>56.382896624180134</v>
      </c>
    </row>
    <row r="116" spans="17:46" x14ac:dyDescent="0.2">
      <c r="Q116">
        <v>109</v>
      </c>
      <c r="R116" s="39">
        <f t="shared" si="45"/>
        <v>170</v>
      </c>
      <c r="S116" s="37">
        <f t="shared" si="73"/>
        <v>7.2666666666666669E-3</v>
      </c>
      <c r="T116" s="37">
        <f t="shared" si="47"/>
        <v>5</v>
      </c>
      <c r="U116" s="40">
        <f t="shared" si="74"/>
        <v>0.29066666666666668</v>
      </c>
      <c r="V116" s="39">
        <f t="shared" si="75"/>
        <v>1</v>
      </c>
      <c r="W116" s="37">
        <f t="shared" si="76"/>
        <v>0.30970954134478973</v>
      </c>
      <c r="X116" s="40">
        <f t="shared" si="77"/>
        <v>1.877027523301756E-3</v>
      </c>
      <c r="Y116" s="39">
        <f t="shared" si="78"/>
        <v>1.5485477067239488</v>
      </c>
      <c r="Z116" s="37">
        <f t="shared" si="71"/>
        <v>1.5485477067239488</v>
      </c>
      <c r="AA116" s="37">
        <f t="shared" si="72"/>
        <v>0.49906064833367492</v>
      </c>
      <c r="AB116" s="37">
        <v>0</v>
      </c>
      <c r="AC116" s="37">
        <f t="shared" si="79"/>
        <v>8.7171535750329779E-3</v>
      </c>
      <c r="AD116" s="40">
        <f t="shared" si="62"/>
        <v>8.7171535750329779E-3</v>
      </c>
      <c r="AE116" s="39">
        <f t="shared" si="70"/>
        <v>9.0022240017552227E-2</v>
      </c>
      <c r="AF116" s="37">
        <f t="shared" si="63"/>
        <v>0.49755518291770284</v>
      </c>
      <c r="AG116" s="37">
        <f t="shared" si="80"/>
        <v>2.8964655725647443E-3</v>
      </c>
      <c r="AH116" s="37">
        <f t="shared" si="81"/>
        <v>4.0704735145709513E-2</v>
      </c>
      <c r="AI116" s="40">
        <f t="shared" si="64"/>
        <v>4.3601200718274259E-2</v>
      </c>
      <c r="AJ116" s="39">
        <f t="shared" si="65"/>
        <v>5.4558933343971038E-4</v>
      </c>
      <c r="AK116" s="37">
        <f t="shared" si="82"/>
        <v>3.873461845635251E-2</v>
      </c>
      <c r="AL116" s="37">
        <f t="shared" si="83"/>
        <v>5.8133333333333335E-3</v>
      </c>
      <c r="AM116" s="37">
        <f t="shared" si="84"/>
        <v>0.85400000000000009</v>
      </c>
      <c r="AN116" s="40">
        <f t="shared" si="66"/>
        <v>0.85981333333333343</v>
      </c>
      <c r="AO116" s="39">
        <f t="shared" si="85"/>
        <v>1.163537452226863E-2</v>
      </c>
      <c r="AP116" s="37">
        <f t="shared" si="86"/>
        <v>2.1600000000000001E-2</v>
      </c>
      <c r="AQ116" s="40">
        <f t="shared" si="87"/>
        <v>2.2499999999999998E-3</v>
      </c>
      <c r="AR116" s="39">
        <f t="shared" si="67"/>
        <v>0.94761706214890917</v>
      </c>
      <c r="AS116" s="37">
        <f t="shared" si="68"/>
        <v>1.2353333333333334</v>
      </c>
      <c r="AT116" s="40">
        <f t="shared" si="69"/>
        <v>56.590078083768461</v>
      </c>
    </row>
    <row r="117" spans="17:46" x14ac:dyDescent="0.2">
      <c r="Q117">
        <v>110</v>
      </c>
      <c r="R117" s="39">
        <f t="shared" si="45"/>
        <v>170</v>
      </c>
      <c r="S117" s="37">
        <f t="shared" si="73"/>
        <v>7.3333333333333341E-3</v>
      </c>
      <c r="T117" s="37">
        <f t="shared" si="47"/>
        <v>5</v>
      </c>
      <c r="U117" s="40">
        <f t="shared" si="74"/>
        <v>0.29333333333333339</v>
      </c>
      <c r="V117" s="39">
        <f t="shared" si="75"/>
        <v>1</v>
      </c>
      <c r="W117" s="37">
        <f t="shared" si="76"/>
        <v>0.31112698372208092</v>
      </c>
      <c r="X117" s="40">
        <f t="shared" si="77"/>
        <v>1.8856180831641263E-3</v>
      </c>
      <c r="Y117" s="39">
        <f t="shared" si="78"/>
        <v>1.5556349186104048</v>
      </c>
      <c r="Z117" s="37">
        <f t="shared" si="71"/>
        <v>1.5556349186104048</v>
      </c>
      <c r="AA117" s="37">
        <f t="shared" si="72"/>
        <v>0.5024906288906269</v>
      </c>
      <c r="AB117" s="37">
        <v>0</v>
      </c>
      <c r="AC117" s="37">
        <f t="shared" si="79"/>
        <v>8.8373891243014226E-3</v>
      </c>
      <c r="AD117" s="40">
        <f t="shared" si="62"/>
        <v>8.8373891243014226E-3</v>
      </c>
      <c r="AE117" s="39">
        <f t="shared" si="70"/>
        <v>9.1263915225143752E-2</v>
      </c>
      <c r="AF117" s="37">
        <f t="shared" si="63"/>
        <v>0.50097481660173837</v>
      </c>
      <c r="AG117" s="37">
        <f t="shared" si="80"/>
        <v>2.9364164723690014E-3</v>
      </c>
      <c r="AH117" s="37">
        <f t="shared" si="81"/>
        <v>4.1078173082826117E-2</v>
      </c>
      <c r="AI117" s="40">
        <f t="shared" si="64"/>
        <v>4.4014589555195119E-2</v>
      </c>
      <c r="AJ117" s="39">
        <f t="shared" si="65"/>
        <v>5.5311463772814379E-4</v>
      </c>
      <c r="AK117" s="37">
        <f t="shared" si="82"/>
        <v>3.9000836577596586E-2</v>
      </c>
      <c r="AL117" s="37">
        <f t="shared" si="83"/>
        <v>5.8666666666666676E-3</v>
      </c>
      <c r="AM117" s="37">
        <f t="shared" si="84"/>
        <v>0.85400000000000009</v>
      </c>
      <c r="AN117" s="40">
        <f t="shared" si="66"/>
        <v>0.85986666666666678</v>
      </c>
      <c r="AO117" s="39">
        <f t="shared" si="85"/>
        <v>1.1795861042849834E-2</v>
      </c>
      <c r="AP117" s="37">
        <f t="shared" si="86"/>
        <v>2.1600000000000001E-2</v>
      </c>
      <c r="AQ117" s="40">
        <f t="shared" si="87"/>
        <v>2.2499999999999998E-3</v>
      </c>
      <c r="AR117" s="39">
        <f t="shared" si="67"/>
        <v>0.94836450638901304</v>
      </c>
      <c r="AS117" s="37">
        <f t="shared" si="68"/>
        <v>1.2466666666666668</v>
      </c>
      <c r="AT117" s="40">
        <f t="shared" si="69"/>
        <v>56.794941318814864</v>
      </c>
    </row>
    <row r="118" spans="17:46" x14ac:dyDescent="0.2">
      <c r="Q118">
        <v>111</v>
      </c>
      <c r="R118" s="39">
        <f t="shared" si="45"/>
        <v>170</v>
      </c>
      <c r="S118" s="37">
        <f t="shared" si="73"/>
        <v>7.4000000000000003E-3</v>
      </c>
      <c r="T118" s="37">
        <f t="shared" si="47"/>
        <v>5</v>
      </c>
      <c r="U118" s="40">
        <f t="shared" si="74"/>
        <v>0.29599999999999999</v>
      </c>
      <c r="V118" s="39">
        <f t="shared" si="75"/>
        <v>1</v>
      </c>
      <c r="W118" s="37">
        <f t="shared" si="76"/>
        <v>0.31253799768988089</v>
      </c>
      <c r="X118" s="40">
        <f t="shared" si="77"/>
        <v>1.894169682968975E-3</v>
      </c>
      <c r="Y118" s="39">
        <f t="shared" si="78"/>
        <v>1.5626899884494045</v>
      </c>
      <c r="Z118" s="37">
        <f t="shared" si="71"/>
        <v>1.5626899884494045</v>
      </c>
      <c r="AA118" s="37">
        <f t="shared" si="72"/>
        <v>0.50591282276840921</v>
      </c>
      <c r="AB118" s="37">
        <v>0</v>
      </c>
      <c r="AC118" s="37">
        <f t="shared" si="79"/>
        <v>8.9581724484524942E-3</v>
      </c>
      <c r="AD118" s="40">
        <f t="shared" si="62"/>
        <v>8.9581724484524942E-3</v>
      </c>
      <c r="AE118" s="39">
        <f t="shared" si="70"/>
        <v>9.2511247316204734E-2</v>
      </c>
      <c r="AF118" s="37">
        <f t="shared" si="63"/>
        <v>0.50438668709588586</v>
      </c>
      <c r="AG118" s="37">
        <f t="shared" si="80"/>
        <v>2.9765493823988884E-3</v>
      </c>
      <c r="AH118" s="37">
        <f t="shared" si="81"/>
        <v>4.1451611019942713E-2</v>
      </c>
      <c r="AI118" s="40">
        <f t="shared" si="64"/>
        <v>4.4428160402341599E-2</v>
      </c>
      <c r="AJ118" s="39">
        <f t="shared" si="65"/>
        <v>5.6067422615881655E-4</v>
      </c>
      <c r="AK118" s="37">
        <f t="shared" si="82"/>
        <v>3.9266450335327559E-2</v>
      </c>
      <c r="AL118" s="37">
        <f t="shared" si="83"/>
        <v>5.9200000000000008E-3</v>
      </c>
      <c r="AM118" s="37">
        <f t="shared" si="84"/>
        <v>0.85400000000000009</v>
      </c>
      <c r="AN118" s="40">
        <f t="shared" si="66"/>
        <v>0.85992000000000013</v>
      </c>
      <c r="AO118" s="39">
        <f t="shared" si="85"/>
        <v>1.1957078715619464E-2</v>
      </c>
      <c r="AP118" s="37">
        <f t="shared" si="86"/>
        <v>2.1600000000000001E-2</v>
      </c>
      <c r="AQ118" s="40">
        <f t="shared" si="87"/>
        <v>2.2499999999999998E-3</v>
      </c>
      <c r="AR118" s="39">
        <f t="shared" si="67"/>
        <v>0.9491134115664136</v>
      </c>
      <c r="AS118" s="37">
        <f t="shared" si="68"/>
        <v>1.258</v>
      </c>
      <c r="AT118" s="40">
        <f t="shared" si="69"/>
        <v>56.997524160173676</v>
      </c>
    </row>
    <row r="119" spans="17:46" x14ac:dyDescent="0.2">
      <c r="Q119">
        <v>112</v>
      </c>
      <c r="R119" s="39">
        <f t="shared" si="45"/>
        <v>170</v>
      </c>
      <c r="S119" s="37">
        <f t="shared" si="73"/>
        <v>7.4666666666666666E-3</v>
      </c>
      <c r="T119" s="37">
        <f t="shared" si="47"/>
        <v>5</v>
      </c>
      <c r="U119" s="40">
        <f t="shared" si="74"/>
        <v>0.29866666666666669</v>
      </c>
      <c r="V119" s="39">
        <f t="shared" si="75"/>
        <v>1</v>
      </c>
      <c r="W119" s="37">
        <f t="shared" si="76"/>
        <v>0.31394266992557729</v>
      </c>
      <c r="X119" s="40">
        <f t="shared" si="77"/>
        <v>1.9026828480338013E-3</v>
      </c>
      <c r="Y119" s="39">
        <f t="shared" si="78"/>
        <v>1.5697133496278866</v>
      </c>
      <c r="Z119" s="37">
        <f t="shared" si="71"/>
        <v>1.5697133496278866</v>
      </c>
      <c r="AA119" s="37">
        <f t="shared" si="72"/>
        <v>0.50932731755855443</v>
      </c>
      <c r="AB119" s="37">
        <v>0</v>
      </c>
      <c r="AC119" s="37">
        <f t="shared" si="79"/>
        <v>9.0795010743987409E-3</v>
      </c>
      <c r="AD119" s="40">
        <f t="shared" si="62"/>
        <v>9.0795010743987409E-3</v>
      </c>
      <c r="AE119" s="39">
        <f t="shared" si="70"/>
        <v>9.3764210751105762E-2</v>
      </c>
      <c r="AF119" s="37">
        <f t="shared" si="63"/>
        <v>0.50779088172744968</v>
      </c>
      <c r="AG119" s="37">
        <f t="shared" si="80"/>
        <v>3.016863480916827E-3</v>
      </c>
      <c r="AH119" s="37">
        <f t="shared" si="81"/>
        <v>4.1825048957059324E-2</v>
      </c>
      <c r="AI119" s="40">
        <f t="shared" si="64"/>
        <v>4.4841912437976153E-2</v>
      </c>
      <c r="AJ119" s="39">
        <f t="shared" si="65"/>
        <v>5.6826794394609535E-4</v>
      </c>
      <c r="AK119" s="37">
        <f t="shared" si="82"/>
        <v>3.9531466527966831E-2</v>
      </c>
      <c r="AL119" s="37">
        <f t="shared" si="83"/>
        <v>5.973333333333334E-3</v>
      </c>
      <c r="AM119" s="37">
        <f t="shared" si="84"/>
        <v>0.85400000000000009</v>
      </c>
      <c r="AN119" s="40">
        <f t="shared" si="66"/>
        <v>0.85997333333333348</v>
      </c>
      <c r="AO119" s="39">
        <f t="shared" si="85"/>
        <v>1.2119024239580417E-2</v>
      </c>
      <c r="AP119" s="37">
        <f t="shared" si="86"/>
        <v>2.1600000000000001E-2</v>
      </c>
      <c r="AQ119" s="40">
        <f t="shared" si="87"/>
        <v>2.2499999999999998E-3</v>
      </c>
      <c r="AR119" s="39">
        <f t="shared" si="67"/>
        <v>0.94986377108528874</v>
      </c>
      <c r="AS119" s="37">
        <f t="shared" si="68"/>
        <v>1.2693333333333334</v>
      </c>
      <c r="AT119" s="40">
        <f t="shared" si="69"/>
        <v>57.197863624009607</v>
      </c>
    </row>
    <row r="120" spans="17:46" x14ac:dyDescent="0.2">
      <c r="Q120">
        <v>113</v>
      </c>
      <c r="R120" s="39">
        <f t="shared" si="45"/>
        <v>170</v>
      </c>
      <c r="S120" s="37">
        <f t="shared" si="73"/>
        <v>7.5333333333333337E-3</v>
      </c>
      <c r="T120" s="37">
        <f t="shared" si="47"/>
        <v>5</v>
      </c>
      <c r="U120" s="40">
        <f t="shared" si="74"/>
        <v>0.3013333333333334</v>
      </c>
      <c r="V120" s="39">
        <f t="shared" si="75"/>
        <v>1</v>
      </c>
      <c r="W120" s="37">
        <f t="shared" si="76"/>
        <v>0.31534108517603604</v>
      </c>
      <c r="X120" s="40">
        <f t="shared" si="77"/>
        <v>1.9111580919759759E-3</v>
      </c>
      <c r="Y120" s="39">
        <f t="shared" si="78"/>
        <v>1.5767054258801805</v>
      </c>
      <c r="Z120" s="37">
        <f t="shared" si="71"/>
        <v>1.5767054258801805</v>
      </c>
      <c r="AA120" s="37">
        <f t="shared" si="72"/>
        <v>0.51273419909483908</v>
      </c>
      <c r="AB120" s="37">
        <v>0</v>
      </c>
      <c r="AC120" s="37">
        <f t="shared" si="79"/>
        <v>9.2013725622499144E-3</v>
      </c>
      <c r="AD120" s="40">
        <f t="shared" si="62"/>
        <v>9.2013725622499144E-3</v>
      </c>
      <c r="AE120" s="39">
        <f t="shared" si="70"/>
        <v>9.5022780333045551E-2</v>
      </c>
      <c r="AF120" s="37">
        <f t="shared" si="63"/>
        <v>0.51118748607128028</v>
      </c>
      <c r="AG120" s="37">
        <f t="shared" si="80"/>
        <v>3.0573579572157421E-3</v>
      </c>
      <c r="AH120" s="37">
        <f t="shared" si="81"/>
        <v>4.2198486894175928E-2</v>
      </c>
      <c r="AI120" s="40">
        <f t="shared" si="64"/>
        <v>4.5255844851391669E-2</v>
      </c>
      <c r="AJ120" s="39">
        <f t="shared" si="65"/>
        <v>5.7589563838209424E-4</v>
      </c>
      <c r="AK120" s="37">
        <f t="shared" si="82"/>
        <v>3.9795891817507492E-2</v>
      </c>
      <c r="AL120" s="37">
        <f t="shared" si="83"/>
        <v>6.0266666666666672E-3</v>
      </c>
      <c r="AM120" s="37">
        <f t="shared" si="84"/>
        <v>0.85400000000000009</v>
      </c>
      <c r="AN120" s="40">
        <f t="shared" si="66"/>
        <v>0.86002666666666672</v>
      </c>
      <c r="AO120" s="39">
        <f t="shared" si="85"/>
        <v>1.2281694358046142E-2</v>
      </c>
      <c r="AP120" s="37">
        <f t="shared" si="86"/>
        <v>2.1600000000000001E-2</v>
      </c>
      <c r="AQ120" s="40">
        <f t="shared" si="87"/>
        <v>2.2499999999999998E-3</v>
      </c>
      <c r="AR120" s="39">
        <f t="shared" si="67"/>
        <v>0.95061557843835442</v>
      </c>
      <c r="AS120" s="37">
        <f t="shared" si="68"/>
        <v>1.2806666666666668</v>
      </c>
      <c r="AT120" s="40">
        <f t="shared" si="69"/>
        <v>57.395995933557423</v>
      </c>
    </row>
    <row r="121" spans="17:46" x14ac:dyDescent="0.2">
      <c r="Q121">
        <v>114</v>
      </c>
      <c r="R121" s="39">
        <f t="shared" si="45"/>
        <v>170</v>
      </c>
      <c r="S121" s="37">
        <f t="shared" si="73"/>
        <v>7.6E-3</v>
      </c>
      <c r="T121" s="37">
        <f t="shared" si="47"/>
        <v>5</v>
      </c>
      <c r="U121" s="40">
        <f t="shared" si="74"/>
        <v>0.30399999999999999</v>
      </c>
      <c r="V121" s="39">
        <f t="shared" si="75"/>
        <v>1</v>
      </c>
      <c r="W121" s="37">
        <f t="shared" si="76"/>
        <v>0.31673332631726642</v>
      </c>
      <c r="X121" s="40">
        <f t="shared" si="77"/>
        <v>1.9195959170743419E-3</v>
      </c>
      <c r="Y121" s="39">
        <f t="shared" si="78"/>
        <v>1.5836666315863324</v>
      </c>
      <c r="Z121" s="37">
        <f t="shared" si="71"/>
        <v>1.5836666315863324</v>
      </c>
      <c r="AA121" s="37">
        <f t="shared" si="72"/>
        <v>0.51613355150378359</v>
      </c>
      <c r="AB121" s="37">
        <v>0</v>
      </c>
      <c r="AC121" s="37">
        <f t="shared" si="79"/>
        <v>9.3237845045768108E-3</v>
      </c>
      <c r="AD121" s="40">
        <f t="shared" si="62"/>
        <v>9.3237845045768108E-3</v>
      </c>
      <c r="AE121" s="39">
        <f t="shared" si="70"/>
        <v>9.6286931200448983E-2</v>
      </c>
      <c r="AF121" s="37">
        <f t="shared" si="63"/>
        <v>0.51457658400012218</v>
      </c>
      <c r="AG121" s="37">
        <f t="shared" si="80"/>
        <v>3.0980320113744475E-3</v>
      </c>
      <c r="AH121" s="37">
        <f t="shared" si="81"/>
        <v>4.2571924831292518E-2</v>
      </c>
      <c r="AI121" s="40">
        <f t="shared" si="64"/>
        <v>4.5669956842666969E-2</v>
      </c>
      <c r="AJ121" s="39">
        <f t="shared" si="65"/>
        <v>5.8355715879059987E-4</v>
      </c>
      <c r="AK121" s="37">
        <f t="shared" si="82"/>
        <v>4.0059732733433828E-2</v>
      </c>
      <c r="AL121" s="37">
        <f t="shared" si="83"/>
        <v>6.0800000000000003E-3</v>
      </c>
      <c r="AM121" s="37">
        <f t="shared" si="84"/>
        <v>0.85400000000000009</v>
      </c>
      <c r="AN121" s="40">
        <f t="shared" si="66"/>
        <v>0.86008000000000007</v>
      </c>
      <c r="AO121" s="39">
        <f t="shared" si="85"/>
        <v>1.2445085857658036E-2</v>
      </c>
      <c r="AP121" s="37">
        <f t="shared" si="86"/>
        <v>2.1600000000000001E-2</v>
      </c>
      <c r="AQ121" s="40">
        <f t="shared" si="87"/>
        <v>2.2499999999999998E-3</v>
      </c>
      <c r="AR121" s="39">
        <f t="shared" si="67"/>
        <v>0.95136882720490179</v>
      </c>
      <c r="AS121" s="37">
        <f t="shared" si="68"/>
        <v>1.292</v>
      </c>
      <c r="AT121" s="40">
        <f t="shared" si="69"/>
        <v>57.591956540189237</v>
      </c>
    </row>
    <row r="122" spans="17:46" x14ac:dyDescent="0.2">
      <c r="Q122">
        <v>115</v>
      </c>
      <c r="R122" s="39">
        <f t="shared" si="45"/>
        <v>170</v>
      </c>
      <c r="S122" s="37">
        <f t="shared" si="73"/>
        <v>7.6666666666666671E-3</v>
      </c>
      <c r="T122" s="37">
        <f t="shared" si="47"/>
        <v>5</v>
      </c>
      <c r="U122" s="40">
        <f t="shared" si="74"/>
        <v>0.3066666666666667</v>
      </c>
      <c r="V122" s="39">
        <f t="shared" si="75"/>
        <v>1</v>
      </c>
      <c r="W122" s="37">
        <f t="shared" si="76"/>
        <v>0.31811947441173732</v>
      </c>
      <c r="X122" s="40">
        <f t="shared" si="77"/>
        <v>1.9279968146165899E-3</v>
      </c>
      <c r="Y122" s="39">
        <f t="shared" si="78"/>
        <v>1.5905973720586868</v>
      </c>
      <c r="Z122" s="37">
        <f t="shared" si="71"/>
        <v>1.5905973720586868</v>
      </c>
      <c r="AA122" s="37">
        <f t="shared" si="72"/>
        <v>0.5195254572532757</v>
      </c>
      <c r="AB122" s="37">
        <v>0</v>
      </c>
      <c r="AC122" s="37">
        <f t="shared" si="79"/>
        <v>9.4467345256978828E-3</v>
      </c>
      <c r="AD122" s="40">
        <f t="shared" si="62"/>
        <v>9.4467345256978828E-3</v>
      </c>
      <c r="AE122" s="39">
        <f t="shared" si="70"/>
        <v>9.7556638819599459E-2</v>
      </c>
      <c r="AF122" s="37">
        <f t="shared" si="63"/>
        <v>0.51795825773309034</v>
      </c>
      <c r="AG122" s="37">
        <f t="shared" si="80"/>
        <v>3.1388848540206118E-3</v>
      </c>
      <c r="AH122" s="37">
        <f t="shared" si="81"/>
        <v>4.2945362768409129E-2</v>
      </c>
      <c r="AI122" s="40">
        <f t="shared" si="64"/>
        <v>4.6084247622429741E-2</v>
      </c>
      <c r="AJ122" s="39">
        <f t="shared" si="65"/>
        <v>5.9125235648242096E-4</v>
      </c>
      <c r="AK122" s="37">
        <f t="shared" si="82"/>
        <v>4.0322995676495291E-2</v>
      </c>
      <c r="AL122" s="37">
        <f t="shared" si="83"/>
        <v>6.1333333333333344E-3</v>
      </c>
      <c r="AM122" s="37">
        <f t="shared" si="84"/>
        <v>0.85400000000000009</v>
      </c>
      <c r="AN122" s="40">
        <f t="shared" si="66"/>
        <v>0.86013333333333342</v>
      </c>
      <c r="AO122" s="39">
        <f t="shared" si="85"/>
        <v>1.2609195567433227E-2</v>
      </c>
      <c r="AP122" s="37">
        <f t="shared" si="86"/>
        <v>2.1600000000000001E-2</v>
      </c>
      <c r="AQ122" s="40">
        <f t="shared" si="87"/>
        <v>2.2499999999999998E-3</v>
      </c>
      <c r="AR122" s="39">
        <f t="shared" si="67"/>
        <v>0.95212351104889414</v>
      </c>
      <c r="AS122" s="37">
        <f t="shared" si="68"/>
        <v>1.3033333333333335</v>
      </c>
      <c r="AT122" s="40">
        <f t="shared" si="69"/>
        <v>57.785780143814634</v>
      </c>
    </row>
    <row r="123" spans="17:46" x14ac:dyDescent="0.2">
      <c r="Q123">
        <v>116</v>
      </c>
      <c r="R123" s="39">
        <f t="shared" si="45"/>
        <v>170</v>
      </c>
      <c r="S123" s="37">
        <f t="shared" si="73"/>
        <v>7.7333333333333334E-3</v>
      </c>
      <c r="T123" s="37">
        <f t="shared" si="47"/>
        <v>5</v>
      </c>
      <c r="U123" s="40">
        <f t="shared" si="74"/>
        <v>0.30933333333333335</v>
      </c>
      <c r="V123" s="39">
        <f t="shared" si="75"/>
        <v>1</v>
      </c>
      <c r="W123" s="37">
        <f t="shared" si="76"/>
        <v>0.31949960876345374</v>
      </c>
      <c r="X123" s="40">
        <f t="shared" si="77"/>
        <v>1.9363612652330529E-3</v>
      </c>
      <c r="Y123" s="39">
        <f t="shared" si="78"/>
        <v>1.597498043817269</v>
      </c>
      <c r="Z123" s="37">
        <f t="shared" si="71"/>
        <v>1.597498043817269</v>
      </c>
      <c r="AA123" s="37">
        <f t="shared" si="72"/>
        <v>0.52290999719939346</v>
      </c>
      <c r="AB123" s="37">
        <v>0</v>
      </c>
      <c r="AC123" s="37">
        <f t="shared" si="79"/>
        <v>9.5702202809874407E-3</v>
      </c>
      <c r="AD123" s="40">
        <f t="shared" si="62"/>
        <v>9.5702202809874407E-3</v>
      </c>
      <c r="AE123" s="39">
        <f t="shared" si="70"/>
        <v>9.8831878977495027E-2</v>
      </c>
      <c r="AF123" s="37">
        <f t="shared" si="63"/>
        <v>0.52133258788235304</v>
      </c>
      <c r="AG123" s="37">
        <f t="shared" si="80"/>
        <v>3.1799157061009032E-3</v>
      </c>
      <c r="AH123" s="37">
        <f t="shared" si="81"/>
        <v>4.3318800705525726E-2</v>
      </c>
      <c r="AI123" s="40">
        <f t="shared" si="64"/>
        <v>4.6498716411626631E-2</v>
      </c>
      <c r="AJ123" s="39">
        <f t="shared" si="65"/>
        <v>5.9898108471209102E-4</v>
      </c>
      <c r="AK123" s="37">
        <f t="shared" si="82"/>
        <v>4.058568692234063E-2</v>
      </c>
      <c r="AL123" s="37">
        <f t="shared" si="83"/>
        <v>6.1866666666666667E-3</v>
      </c>
      <c r="AM123" s="37">
        <f t="shared" si="84"/>
        <v>0.85400000000000009</v>
      </c>
      <c r="AN123" s="40">
        <f t="shared" si="66"/>
        <v>0.86018666666666677</v>
      </c>
      <c r="AO123" s="39">
        <f t="shared" si="85"/>
        <v>1.2774020357841235E-2</v>
      </c>
      <c r="AP123" s="37">
        <f t="shared" si="86"/>
        <v>2.1600000000000001E-2</v>
      </c>
      <c r="AQ123" s="40">
        <f t="shared" si="87"/>
        <v>2.2499999999999998E-3</v>
      </c>
      <c r="AR123" s="39">
        <f t="shared" si="67"/>
        <v>0.95287962371712198</v>
      </c>
      <c r="AS123" s="37">
        <f t="shared" si="68"/>
        <v>1.3146666666666667</v>
      </c>
      <c r="AT123" s="40">
        <f t="shared" si="69"/>
        <v>57.97750071263841</v>
      </c>
    </row>
    <row r="124" spans="17:46" x14ac:dyDescent="0.2">
      <c r="Q124">
        <v>117</v>
      </c>
      <c r="R124" s="39">
        <f t="shared" si="45"/>
        <v>170</v>
      </c>
      <c r="S124" s="37">
        <f t="shared" si="73"/>
        <v>7.8000000000000005E-3</v>
      </c>
      <c r="T124" s="37">
        <f t="shared" si="47"/>
        <v>5</v>
      </c>
      <c r="U124" s="40">
        <f t="shared" si="74"/>
        <v>0.312</v>
      </c>
      <c r="V124" s="39">
        <f t="shared" si="75"/>
        <v>1</v>
      </c>
      <c r="W124" s="37">
        <f t="shared" si="76"/>
        <v>0.32087380697090251</v>
      </c>
      <c r="X124" s="40">
        <f t="shared" si="77"/>
        <v>1.9446897392175909E-3</v>
      </c>
      <c r="Y124" s="39">
        <f t="shared" si="78"/>
        <v>1.6043690348545128</v>
      </c>
      <c r="Z124" s="37">
        <f t="shared" si="71"/>
        <v>1.6043690348545128</v>
      </c>
      <c r="AA124" s="37">
        <f t="shared" si="72"/>
        <v>0.52628725063151882</v>
      </c>
      <c r="AB124" s="37">
        <v>0</v>
      </c>
      <c r="AC124" s="37">
        <f t="shared" si="79"/>
        <v>9.6942394562049092E-3</v>
      </c>
      <c r="AD124" s="40">
        <f t="shared" si="62"/>
        <v>9.6942394562049092E-3</v>
      </c>
      <c r="AE124" s="39">
        <f t="shared" si="70"/>
        <v>0.10011262777492158</v>
      </c>
      <c r="AF124" s="37">
        <f t="shared" si="63"/>
        <v>0.52469965349810788</v>
      </c>
      <c r="AG124" s="37">
        <f t="shared" si="80"/>
        <v>3.2211237986581034E-3</v>
      </c>
      <c r="AH124" s="37">
        <f t="shared" si="81"/>
        <v>4.3692238642642323E-2</v>
      </c>
      <c r="AI124" s="40">
        <f t="shared" si="64"/>
        <v>4.6913362441300427E-2</v>
      </c>
      <c r="AJ124" s="39">
        <f t="shared" si="65"/>
        <v>6.0674319863588831E-4</v>
      </c>
      <c r="AK124" s="37">
        <f t="shared" si="82"/>
        <v>4.0847812625019388E-2</v>
      </c>
      <c r="AL124" s="37">
        <f t="shared" si="83"/>
        <v>6.2400000000000008E-3</v>
      </c>
      <c r="AM124" s="37">
        <f t="shared" si="84"/>
        <v>0.85400000000000009</v>
      </c>
      <c r="AN124" s="40">
        <f t="shared" si="66"/>
        <v>0.86024000000000012</v>
      </c>
      <c r="AO124" s="39">
        <f t="shared" si="85"/>
        <v>1.293955713990862E-2</v>
      </c>
      <c r="AP124" s="37">
        <f t="shared" si="86"/>
        <v>2.1600000000000001E-2</v>
      </c>
      <c r="AQ124" s="40">
        <f t="shared" si="87"/>
        <v>2.2499999999999998E-3</v>
      </c>
      <c r="AR124" s="39">
        <f t="shared" si="67"/>
        <v>0.95363715903741397</v>
      </c>
      <c r="AS124" s="37">
        <f t="shared" si="68"/>
        <v>1.3260000000000001</v>
      </c>
      <c r="AT124" s="40">
        <f t="shared" si="69"/>
        <v>58.16715150229912</v>
      </c>
    </row>
    <row r="125" spans="17:46" x14ac:dyDescent="0.2">
      <c r="Q125">
        <v>118</v>
      </c>
      <c r="R125" s="39">
        <f t="shared" si="45"/>
        <v>170</v>
      </c>
      <c r="S125" s="37">
        <f t="shared" si="73"/>
        <v>7.8666666666666676E-3</v>
      </c>
      <c r="T125" s="37">
        <f t="shared" si="47"/>
        <v>5</v>
      </c>
      <c r="U125" s="40">
        <f t="shared" si="74"/>
        <v>0.31466666666666671</v>
      </c>
      <c r="V125" s="39">
        <f t="shared" si="75"/>
        <v>1</v>
      </c>
      <c r="W125" s="37">
        <f t="shared" si="76"/>
        <v>0.32224214497796533</v>
      </c>
      <c r="X125" s="40">
        <f t="shared" si="77"/>
        <v>1.9529826968361533E-3</v>
      </c>
      <c r="Y125" s="39">
        <f t="shared" si="78"/>
        <v>1.6112107248898269</v>
      </c>
      <c r="Z125" s="37">
        <f t="shared" si="71"/>
        <v>1.6112107248898269</v>
      </c>
      <c r="AA125" s="37">
        <f t="shared" si="72"/>
        <v>0.5296572953158124</v>
      </c>
      <c r="AB125" s="37">
        <v>0</v>
      </c>
      <c r="AC125" s="37">
        <f t="shared" si="79"/>
        <v>9.8187897668441607E-3</v>
      </c>
      <c r="AD125" s="40">
        <f t="shared" si="62"/>
        <v>9.8187897668441607E-3</v>
      </c>
      <c r="AE125" s="39">
        <f t="shared" si="70"/>
        <v>0.1013988616197331</v>
      </c>
      <c r="AF125" s="37">
        <f t="shared" si="63"/>
        <v>0.52805953211192591</v>
      </c>
      <c r="AG125" s="37">
        <f t="shared" si="80"/>
        <v>3.2625083726149137E-3</v>
      </c>
      <c r="AH125" s="37">
        <f t="shared" si="81"/>
        <v>4.4065676579758926E-2</v>
      </c>
      <c r="AI125" s="40">
        <f t="shared" si="64"/>
        <v>4.7328184952373842E-2</v>
      </c>
      <c r="AJ125" s="39">
        <f t="shared" si="65"/>
        <v>6.1453855527110967E-4</v>
      </c>
      <c r="AK125" s="37">
        <f t="shared" si="82"/>
        <v>4.1109378820356215E-2</v>
      </c>
      <c r="AL125" s="37">
        <f t="shared" si="83"/>
        <v>6.2933333333333348E-3</v>
      </c>
      <c r="AM125" s="37">
        <f t="shared" si="84"/>
        <v>0.85400000000000009</v>
      </c>
      <c r="AN125" s="40">
        <f t="shared" si="66"/>
        <v>0.86029333333333347</v>
      </c>
      <c r="AO125" s="39">
        <f t="shared" si="85"/>
        <v>1.3105802864350508E-2</v>
      </c>
      <c r="AP125" s="37">
        <f t="shared" si="86"/>
        <v>2.1600000000000001E-2</v>
      </c>
      <c r="AQ125" s="40">
        <f t="shared" si="87"/>
        <v>2.2499999999999998E-3</v>
      </c>
      <c r="AR125" s="39">
        <f t="shared" si="67"/>
        <v>0.9543961109169018</v>
      </c>
      <c r="AS125" s="37">
        <f t="shared" si="68"/>
        <v>1.3373333333333335</v>
      </c>
      <c r="AT125" s="40">
        <f t="shared" si="69"/>
        <v>58.354765074411162</v>
      </c>
    </row>
    <row r="126" spans="17:46" x14ac:dyDescent="0.2">
      <c r="Q126">
        <v>119</v>
      </c>
      <c r="R126" s="39">
        <f t="shared" si="45"/>
        <v>170</v>
      </c>
      <c r="S126" s="37">
        <f t="shared" si="73"/>
        <v>7.9333333333333339E-3</v>
      </c>
      <c r="T126" s="37">
        <f t="shared" si="47"/>
        <v>5</v>
      </c>
      <c r="U126" s="40">
        <f t="shared" si="74"/>
        <v>0.31733333333333336</v>
      </c>
      <c r="V126" s="39">
        <f t="shared" si="75"/>
        <v>1</v>
      </c>
      <c r="W126" s="37">
        <f t="shared" si="76"/>
        <v>0.32360469712289402</v>
      </c>
      <c r="X126" s="40">
        <f t="shared" si="77"/>
        <v>1.9612405886236003E-3</v>
      </c>
      <c r="Y126" s="39">
        <f t="shared" si="78"/>
        <v>1.6180234856144704</v>
      </c>
      <c r="Z126" s="37">
        <f t="shared" si="71"/>
        <v>1.6180234856144704</v>
      </c>
      <c r="AA126" s="37">
        <f t="shared" si="72"/>
        <v>0.53302020753712309</v>
      </c>
      <c r="AB126" s="37">
        <v>0</v>
      </c>
      <c r="AC126" s="37">
        <f t="shared" si="79"/>
        <v>9.9438689575021225E-3</v>
      </c>
      <c r="AD126" s="40">
        <f t="shared" si="62"/>
        <v>9.9438689575021225E-3</v>
      </c>
      <c r="AE126" s="39">
        <f t="shared" si="70"/>
        <v>0.10269055722033171</v>
      </c>
      <c r="AF126" s="37">
        <f t="shared" si="63"/>
        <v>0.53141229977853566</v>
      </c>
      <c r="AG126" s="37">
        <f t="shared" si="80"/>
        <v>3.3040686785641734E-3</v>
      </c>
      <c r="AH126" s="37">
        <f t="shared" si="81"/>
        <v>4.443911451687553E-2</v>
      </c>
      <c r="AI126" s="40">
        <f t="shared" si="64"/>
        <v>4.7743183195439701E-2</v>
      </c>
      <c r="AJ126" s="39">
        <f t="shared" si="65"/>
        <v>6.2236701345655583E-4</v>
      </c>
      <c r="AK126" s="37">
        <f t="shared" si="82"/>
        <v>4.1370391429203672E-2</v>
      </c>
      <c r="AL126" s="37">
        <f t="shared" si="83"/>
        <v>6.3466666666666671E-3</v>
      </c>
      <c r="AM126" s="37">
        <f t="shared" si="84"/>
        <v>0.85400000000000009</v>
      </c>
      <c r="AN126" s="40">
        <f t="shared" si="66"/>
        <v>0.86034666666666682</v>
      </c>
      <c r="AO126" s="39">
        <f t="shared" si="85"/>
        <v>1.3272754520727875E-2</v>
      </c>
      <c r="AP126" s="37">
        <f t="shared" si="86"/>
        <v>2.1600000000000001E-2</v>
      </c>
      <c r="AQ126" s="40">
        <f t="shared" si="87"/>
        <v>2.2499999999999998E-3</v>
      </c>
      <c r="AR126" s="39">
        <f t="shared" si="67"/>
        <v>0.95515647334033638</v>
      </c>
      <c r="AS126" s="37">
        <f t="shared" si="68"/>
        <v>1.3486666666666667</v>
      </c>
      <c r="AT126" s="40">
        <f t="shared" si="69"/>
        <v>58.540373314531735</v>
      </c>
    </row>
    <row r="127" spans="17:46" x14ac:dyDescent="0.2">
      <c r="Q127">
        <v>120</v>
      </c>
      <c r="R127" s="39">
        <f t="shared" si="45"/>
        <v>170</v>
      </c>
      <c r="S127" s="37">
        <f t="shared" si="73"/>
        <v>8.0000000000000002E-3</v>
      </c>
      <c r="T127" s="37">
        <f t="shared" si="47"/>
        <v>5</v>
      </c>
      <c r="U127" s="40">
        <f t="shared" si="74"/>
        <v>0.32</v>
      </c>
      <c r="V127" s="39">
        <f t="shared" si="75"/>
        <v>1</v>
      </c>
      <c r="W127" s="37">
        <f t="shared" si="76"/>
        <v>0.32496153618543838</v>
      </c>
      <c r="X127" s="40">
        <f t="shared" si="77"/>
        <v>1.969463855669323E-3</v>
      </c>
      <c r="Y127" s="39">
        <f t="shared" si="78"/>
        <v>1.6248076809271921</v>
      </c>
      <c r="Z127" s="37">
        <f t="shared" si="71"/>
        <v>1.6248076809271921</v>
      </c>
      <c r="AA127" s="37">
        <f t="shared" si="72"/>
        <v>0.53637606213940503</v>
      </c>
      <c r="AB127" s="37">
        <v>0</v>
      </c>
      <c r="AC127" s="37">
        <f t="shared" si="79"/>
        <v>1.0069474801266123E-2</v>
      </c>
      <c r="AD127" s="40">
        <f t="shared" si="62"/>
        <v>1.0069474801266123E-2</v>
      </c>
      <c r="AE127" s="39">
        <f t="shared" si="70"/>
        <v>0.10398769157934029</v>
      </c>
      <c r="AF127" s="37">
        <f t="shared" si="63"/>
        <v>0.53475803111611686</v>
      </c>
      <c r="AG127" s="37">
        <f t="shared" si="80"/>
        <v>3.345803976565274E-3</v>
      </c>
      <c r="AH127" s="37">
        <f t="shared" si="81"/>
        <v>4.4812552453992127E-2</v>
      </c>
      <c r="AI127" s="40">
        <f t="shared" si="64"/>
        <v>4.8158356430557402E-2</v>
      </c>
      <c r="AJ127" s="39">
        <f t="shared" si="65"/>
        <v>6.302284338141834E-4</v>
      </c>
      <c r="AK127" s="37">
        <f t="shared" si="82"/>
        <v>4.1630856260579177E-2</v>
      </c>
      <c r="AL127" s="37">
        <f t="shared" si="83"/>
        <v>6.4000000000000003E-3</v>
      </c>
      <c r="AM127" s="37">
        <f t="shared" si="84"/>
        <v>0.85400000000000009</v>
      </c>
      <c r="AN127" s="40">
        <f t="shared" si="66"/>
        <v>0.86040000000000005</v>
      </c>
      <c r="AO127" s="39">
        <f t="shared" si="85"/>
        <v>1.3440409136629732E-2</v>
      </c>
      <c r="AP127" s="37">
        <f t="shared" si="86"/>
        <v>2.1600000000000001E-2</v>
      </c>
      <c r="AQ127" s="40">
        <f t="shared" si="87"/>
        <v>2.2499999999999998E-3</v>
      </c>
      <c r="AR127" s="39">
        <f t="shared" si="67"/>
        <v>0.95591824036845319</v>
      </c>
      <c r="AS127" s="37">
        <f t="shared" si="68"/>
        <v>1.36</v>
      </c>
      <c r="AT127" s="40">
        <f t="shared" si="69"/>
        <v>58.724007449573421</v>
      </c>
    </row>
    <row r="128" spans="17:46" x14ac:dyDescent="0.2">
      <c r="Q128">
        <v>121</v>
      </c>
      <c r="R128" s="39">
        <f t="shared" si="45"/>
        <v>170</v>
      </c>
      <c r="S128" s="37">
        <f t="shared" si="73"/>
        <v>8.0666666666666664E-3</v>
      </c>
      <c r="T128" s="37">
        <f t="shared" si="47"/>
        <v>5</v>
      </c>
      <c r="U128" s="40">
        <f t="shared" si="74"/>
        <v>0.32266666666666666</v>
      </c>
      <c r="V128" s="39">
        <f t="shared" si="75"/>
        <v>1</v>
      </c>
      <c r="W128" s="37">
        <f t="shared" si="76"/>
        <v>0.32631273343220918</v>
      </c>
      <c r="X128" s="40">
        <f t="shared" si="77"/>
        <v>1.9776529298921766E-3</v>
      </c>
      <c r="Y128" s="39">
        <f t="shared" si="78"/>
        <v>1.6315636671610461</v>
      </c>
      <c r="Z128" s="37">
        <f t="shared" si="71"/>
        <v>1.6315636671610461</v>
      </c>
      <c r="AA128" s="37">
        <f t="shared" si="72"/>
        <v>0.53972493256470122</v>
      </c>
      <c r="AB128" s="37">
        <v>0</v>
      </c>
      <c r="AC128" s="37">
        <f t="shared" si="79"/>
        <v>1.0195605099118996E-2</v>
      </c>
      <c r="AD128" s="40">
        <f t="shared" si="62"/>
        <v>1.0195605099118996E-2</v>
      </c>
      <c r="AE128" s="39">
        <f t="shared" si="70"/>
        <v>0.1052902419874595</v>
      </c>
      <c r="AF128" s="37">
        <f t="shared" si="63"/>
        <v>0.53809679934516774</v>
      </c>
      <c r="AG128" s="37">
        <f t="shared" si="80"/>
        <v>3.3877135359465104E-3</v>
      </c>
      <c r="AH128" s="37">
        <f t="shared" si="81"/>
        <v>4.5185990391108724E-2</v>
      </c>
      <c r="AI128" s="40">
        <f t="shared" si="64"/>
        <v>4.8573703927055234E-2</v>
      </c>
      <c r="AJ128" s="39">
        <f t="shared" si="65"/>
        <v>6.3812267871187563E-4</v>
      </c>
      <c r="AK128" s="37">
        <f t="shared" si="82"/>
        <v>4.1890779014690786E-2</v>
      </c>
      <c r="AL128" s="37">
        <f t="shared" si="83"/>
        <v>6.4533333333333335E-3</v>
      </c>
      <c r="AM128" s="37">
        <f t="shared" si="84"/>
        <v>0.85400000000000009</v>
      </c>
      <c r="AN128" s="40">
        <f t="shared" si="66"/>
        <v>0.8604533333333334</v>
      </c>
      <c r="AO128" s="39">
        <f t="shared" si="85"/>
        <v>1.3608763776879144E-2</v>
      </c>
      <c r="AP128" s="37">
        <f t="shared" si="86"/>
        <v>2.1600000000000001E-2</v>
      </c>
      <c r="AQ128" s="40">
        <f t="shared" si="87"/>
        <v>2.2499999999999998E-3</v>
      </c>
      <c r="AR128" s="39">
        <f t="shared" si="67"/>
        <v>0.95668140613638664</v>
      </c>
      <c r="AS128" s="37">
        <f t="shared" si="68"/>
        <v>1.3713333333333333</v>
      </c>
      <c r="AT128" s="40">
        <f t="shared" si="69"/>
        <v>58.905698064682298</v>
      </c>
    </row>
    <row r="129" spans="17:46" x14ac:dyDescent="0.2">
      <c r="Q129">
        <v>122</v>
      </c>
      <c r="R129" s="39">
        <f t="shared" si="45"/>
        <v>170</v>
      </c>
      <c r="S129" s="37">
        <f t="shared" si="73"/>
        <v>8.1333333333333344E-3</v>
      </c>
      <c r="T129" s="37">
        <f t="shared" si="47"/>
        <v>5</v>
      </c>
      <c r="U129" s="40">
        <f t="shared" si="74"/>
        <v>0.32533333333333342</v>
      </c>
      <c r="V129" s="39">
        <f t="shared" si="75"/>
        <v>1</v>
      </c>
      <c r="W129" s="37">
        <f t="shared" si="76"/>
        <v>0.32765835866035831</v>
      </c>
      <c r="X129" s="40">
        <f t="shared" si="77"/>
        <v>1.9858082343052015E-3</v>
      </c>
      <c r="Y129" s="39">
        <f t="shared" si="78"/>
        <v>1.6382917933017918</v>
      </c>
      <c r="Z129" s="37">
        <f t="shared" si="71"/>
        <v>1.6382917933017918</v>
      </c>
      <c r="AA129" s="37">
        <f t="shared" si="72"/>
        <v>0.54306689089076221</v>
      </c>
      <c r="AB129" s="37">
        <v>0</v>
      </c>
      <c r="AC129" s="37">
        <f t="shared" si="79"/>
        <v>1.0322257679361567E-2</v>
      </c>
      <c r="AD129" s="40">
        <f t="shared" si="62"/>
        <v>1.0322257679361567E-2</v>
      </c>
      <c r="AE129" s="39">
        <f t="shared" si="70"/>
        <v>0.10659818601750326</v>
      </c>
      <c r="AF129" s="37">
        <f t="shared" si="63"/>
        <v>0.54142867632600877</v>
      </c>
      <c r="AG129" s="37">
        <f t="shared" si="80"/>
        <v>3.4297966351131679E-3</v>
      </c>
      <c r="AH129" s="37">
        <f t="shared" si="81"/>
        <v>4.5559428328225335E-2</v>
      </c>
      <c r="AI129" s="40">
        <f t="shared" si="64"/>
        <v>4.8989224963338504E-2</v>
      </c>
      <c r="AJ129" s="39">
        <f t="shared" si="65"/>
        <v>6.460496122272924E-4</v>
      </c>
      <c r="AK129" s="37">
        <f t="shared" si="82"/>
        <v>4.2150165285856883E-2</v>
      </c>
      <c r="AL129" s="37">
        <f t="shared" si="83"/>
        <v>6.5066666666666675E-3</v>
      </c>
      <c r="AM129" s="37">
        <f t="shared" si="84"/>
        <v>0.85400000000000009</v>
      </c>
      <c r="AN129" s="40">
        <f t="shared" si="66"/>
        <v>0.86050666666666675</v>
      </c>
      <c r="AO129" s="39">
        <f t="shared" si="85"/>
        <v>1.3777815542762297E-2</v>
      </c>
      <c r="AP129" s="37">
        <f t="shared" si="86"/>
        <v>2.1600000000000001E-2</v>
      </c>
      <c r="AQ129" s="40">
        <f t="shared" si="87"/>
        <v>2.2499999999999998E-3</v>
      </c>
      <c r="AR129" s="39">
        <f t="shared" si="67"/>
        <v>0.95744596485212896</v>
      </c>
      <c r="AS129" s="37">
        <f t="shared" si="68"/>
        <v>1.3826666666666669</v>
      </c>
      <c r="AT129" s="40">
        <f t="shared" si="69"/>
        <v>59.085475119600503</v>
      </c>
    </row>
    <row r="130" spans="17:46" x14ac:dyDescent="0.2">
      <c r="Q130">
        <v>123</v>
      </c>
      <c r="R130" s="39">
        <f t="shared" si="45"/>
        <v>170</v>
      </c>
      <c r="S130" s="37">
        <f t="shared" si="73"/>
        <v>8.2000000000000007E-3</v>
      </c>
      <c r="T130" s="37">
        <f t="shared" si="47"/>
        <v>5</v>
      </c>
      <c r="U130" s="40">
        <f t="shared" si="74"/>
        <v>0.32800000000000001</v>
      </c>
      <c r="V130" s="39">
        <f t="shared" si="75"/>
        <v>1</v>
      </c>
      <c r="W130" s="37">
        <f t="shared" si="76"/>
        <v>0.32899848023965089</v>
      </c>
      <c r="X130" s="40">
        <f t="shared" si="77"/>
        <v>1.9939301832706115E-3</v>
      </c>
      <c r="Y130" s="39">
        <f t="shared" si="78"/>
        <v>1.6449924011982546</v>
      </c>
      <c r="Z130" s="37">
        <f t="shared" si="71"/>
        <v>1.6449924011982546</v>
      </c>
      <c r="AA130" s="37">
        <f t="shared" si="72"/>
        <v>0.54640200786735327</v>
      </c>
      <c r="AB130" s="37">
        <v>0</v>
      </c>
      <c r="AC130" s="37">
        <f t="shared" si="79"/>
        <v>1.0449430397051632E-2</v>
      </c>
      <c r="AD130" s="40">
        <f t="shared" si="62"/>
        <v>1.0449430397051632E-2</v>
      </c>
      <c r="AE130" s="39">
        <f t="shared" si="70"/>
        <v>0.1079115015186055</v>
      </c>
      <c r="AF130" s="37">
        <f t="shared" si="63"/>
        <v>0.54475373259498183</v>
      </c>
      <c r="AG130" s="37">
        <f t="shared" si="80"/>
        <v>3.4720525613611301E-3</v>
      </c>
      <c r="AH130" s="37">
        <f t="shared" si="81"/>
        <v>4.5932866265341939E-2</v>
      </c>
      <c r="AI130" s="40">
        <f t="shared" si="64"/>
        <v>4.9404918826703066E-2</v>
      </c>
      <c r="AJ130" s="39">
        <f t="shared" si="65"/>
        <v>6.5400910011276063E-4</v>
      </c>
      <c r="AK130" s="37">
        <f t="shared" si="82"/>
        <v>4.2409020565324203E-2</v>
      </c>
      <c r="AL130" s="37">
        <f t="shared" si="83"/>
        <v>6.5600000000000007E-3</v>
      </c>
      <c r="AM130" s="37">
        <f t="shared" si="84"/>
        <v>0.85400000000000009</v>
      </c>
      <c r="AN130" s="40">
        <f t="shared" si="66"/>
        <v>0.8605600000000001</v>
      </c>
      <c r="AO130" s="39">
        <f t="shared" si="85"/>
        <v>1.3947561571279753E-2</v>
      </c>
      <c r="AP130" s="37">
        <f t="shared" si="86"/>
        <v>2.1600000000000001E-2</v>
      </c>
      <c r="AQ130" s="40">
        <f t="shared" si="87"/>
        <v>2.2499999999999998E-3</v>
      </c>
      <c r="AR130" s="39">
        <f t="shared" si="67"/>
        <v>0.95821191079503443</v>
      </c>
      <c r="AS130" s="37">
        <f t="shared" si="68"/>
        <v>1.3940000000000001</v>
      </c>
      <c r="AT130" s="40">
        <f t="shared" si="69"/>
        <v>59.263367964531554</v>
      </c>
    </row>
    <row r="131" spans="17:46" x14ac:dyDescent="0.2">
      <c r="Q131">
        <v>124</v>
      </c>
      <c r="R131" s="39">
        <f t="shared" si="45"/>
        <v>170</v>
      </c>
      <c r="S131" s="37">
        <f t="shared" si="73"/>
        <v>8.266666666666667E-3</v>
      </c>
      <c r="T131" s="37">
        <f t="shared" si="47"/>
        <v>5</v>
      </c>
      <c r="U131" s="40">
        <f t="shared" si="74"/>
        <v>0.33066666666666666</v>
      </c>
      <c r="V131" s="39">
        <f t="shared" si="75"/>
        <v>1</v>
      </c>
      <c r="W131" s="37">
        <f t="shared" si="76"/>
        <v>0.33033316515300126</v>
      </c>
      <c r="X131" s="40">
        <f t="shared" si="77"/>
        <v>2.0020191827454618E-3</v>
      </c>
      <c r="Y131" s="39">
        <f t="shared" si="78"/>
        <v>1.6516658257650065</v>
      </c>
      <c r="Z131" s="37">
        <f t="shared" si="71"/>
        <v>1.6516658257650065</v>
      </c>
      <c r="AA131" s="37">
        <f t="shared" si="72"/>
        <v>0.54973035295131056</v>
      </c>
      <c r="AB131" s="37">
        <v>0</v>
      </c>
      <c r="AC131" s="37">
        <f t="shared" si="79"/>
        <v>1.0577121133459039E-2</v>
      </c>
      <c r="AD131" s="40">
        <f t="shared" si="62"/>
        <v>1.0577121133459039E-2</v>
      </c>
      <c r="AE131" s="39">
        <f t="shared" si="70"/>
        <v>0.10923016661059241</v>
      </c>
      <c r="AF131" s="37">
        <f t="shared" si="63"/>
        <v>0.54807203739940002</v>
      </c>
      <c r="AG131" s="37">
        <f t="shared" si="80"/>
        <v>3.5144806106958137E-3</v>
      </c>
      <c r="AH131" s="37">
        <f t="shared" si="81"/>
        <v>4.6306304202458529E-2</v>
      </c>
      <c r="AI131" s="40">
        <f t="shared" si="64"/>
        <v>4.9820784813154342E-2</v>
      </c>
      <c r="AJ131" s="39">
        <f t="shared" si="65"/>
        <v>6.62001009761166E-4</v>
      </c>
      <c r="AK131" s="37">
        <f t="shared" si="82"/>
        <v>4.2667350243988753E-2</v>
      </c>
      <c r="AL131" s="37">
        <f t="shared" si="83"/>
        <v>6.6133333333333339E-3</v>
      </c>
      <c r="AM131" s="37">
        <f t="shared" si="84"/>
        <v>0.85400000000000009</v>
      </c>
      <c r="AN131" s="40">
        <f t="shared" si="66"/>
        <v>0.86061333333333345</v>
      </c>
      <c r="AO131" s="39">
        <f t="shared" si="85"/>
        <v>1.411799903441908E-2</v>
      </c>
      <c r="AP131" s="37">
        <f t="shared" si="86"/>
        <v>2.1600000000000001E-2</v>
      </c>
      <c r="AQ131" s="40">
        <f t="shared" si="87"/>
        <v>2.2499999999999998E-3</v>
      </c>
      <c r="AR131" s="39">
        <f t="shared" si="67"/>
        <v>0.95897923831436582</v>
      </c>
      <c r="AS131" s="37">
        <f t="shared" si="68"/>
        <v>1.4053333333333333</v>
      </c>
      <c r="AT131" s="40">
        <f t="shared" si="69"/>
        <v>59.439405355525857</v>
      </c>
    </row>
    <row r="132" spans="17:46" x14ac:dyDescent="0.2">
      <c r="Q132">
        <v>125</v>
      </c>
      <c r="R132" s="39">
        <f t="shared" si="45"/>
        <v>170</v>
      </c>
      <c r="S132" s="37">
        <f t="shared" si="73"/>
        <v>8.3333333333333332E-3</v>
      </c>
      <c r="T132" s="37">
        <f t="shared" si="47"/>
        <v>5</v>
      </c>
      <c r="U132" s="40">
        <f t="shared" si="74"/>
        <v>0.33333333333333337</v>
      </c>
      <c r="V132" s="39">
        <f t="shared" si="75"/>
        <v>1</v>
      </c>
      <c r="W132" s="37">
        <f t="shared" si="76"/>
        <v>0.33166247903553997</v>
      </c>
      <c r="X132" s="40">
        <f t="shared" si="77"/>
        <v>2.010075630518424E-3</v>
      </c>
      <c r="Y132" s="39">
        <f t="shared" si="78"/>
        <v>1.6583123951777001</v>
      </c>
      <c r="Z132" s="37">
        <f t="shared" si="71"/>
        <v>1.6583123951777001</v>
      </c>
      <c r="AA132" s="37">
        <f t="shared" si="72"/>
        <v>0.55305199434039376</v>
      </c>
      <c r="AB132" s="37">
        <v>0</v>
      </c>
      <c r="AC132" s="37">
        <f t="shared" si="79"/>
        <v>1.0705327795536042E-2</v>
      </c>
      <c r="AD132" s="40">
        <f t="shared" si="62"/>
        <v>1.0705327795536042E-2</v>
      </c>
      <c r="AE132" s="39">
        <f t="shared" si="70"/>
        <v>0.11055415967851334</v>
      </c>
      <c r="AF132" s="37">
        <f t="shared" si="63"/>
        <v>0.55138365873129724</v>
      </c>
      <c r="AG132" s="37">
        <f t="shared" si="80"/>
        <v>3.5570800876561668E-3</v>
      </c>
      <c r="AH132" s="37">
        <f t="shared" si="81"/>
        <v>4.6679742139575132E-2</v>
      </c>
      <c r="AI132" s="40">
        <f t="shared" si="64"/>
        <v>5.0236822227231297E-2</v>
      </c>
      <c r="AJ132" s="39">
        <f t="shared" si="65"/>
        <v>6.7002521017280807E-4</v>
      </c>
      <c r="AK132" s="37">
        <f t="shared" si="82"/>
        <v>4.2925159615023245E-2</v>
      </c>
      <c r="AL132" s="37">
        <f t="shared" si="83"/>
        <v>6.6666666666666671E-3</v>
      </c>
      <c r="AM132" s="37">
        <f t="shared" si="84"/>
        <v>0.85400000000000009</v>
      </c>
      <c r="AN132" s="40">
        <f t="shared" si="66"/>
        <v>0.8606666666666668</v>
      </c>
      <c r="AO132" s="39">
        <f t="shared" si="85"/>
        <v>1.428912513844785E-2</v>
      </c>
      <c r="AP132" s="37">
        <f t="shared" si="86"/>
        <v>2.1600000000000001E-2</v>
      </c>
      <c r="AQ132" s="40">
        <f t="shared" si="87"/>
        <v>2.2499999999999998E-3</v>
      </c>
      <c r="AR132" s="39">
        <f t="shared" si="67"/>
        <v>0.95974794182788181</v>
      </c>
      <c r="AS132" s="37">
        <f t="shared" si="68"/>
        <v>1.4166666666666667</v>
      </c>
      <c r="AT132" s="40">
        <f t="shared" si="69"/>
        <v>59.613615469403328</v>
      </c>
    </row>
    <row r="133" spans="17:46" x14ac:dyDescent="0.2">
      <c r="Q133">
        <v>126</v>
      </c>
      <c r="R133" s="39">
        <f t="shared" si="45"/>
        <v>170</v>
      </c>
      <c r="S133" s="37">
        <f t="shared" si="73"/>
        <v>8.4000000000000012E-3</v>
      </c>
      <c r="T133" s="37">
        <f t="shared" si="47"/>
        <v>5</v>
      </c>
      <c r="U133" s="40">
        <f t="shared" si="74"/>
        <v>0.33600000000000002</v>
      </c>
      <c r="V133" s="39">
        <f t="shared" si="75"/>
        <v>1</v>
      </c>
      <c r="W133" s="37">
        <f t="shared" si="76"/>
        <v>0.33298648621227861</v>
      </c>
      <c r="X133" s="40">
        <f t="shared" si="77"/>
        <v>2.0180999164380519E-3</v>
      </c>
      <c r="Y133" s="39">
        <f t="shared" si="78"/>
        <v>1.6649324310613933</v>
      </c>
      <c r="Z133" s="37">
        <f t="shared" si="71"/>
        <v>1.6649324310613933</v>
      </c>
      <c r="AA133" s="37">
        <f t="shared" si="72"/>
        <v>0.55636699900599274</v>
      </c>
      <c r="AB133" s="37">
        <v>0</v>
      </c>
      <c r="AC133" s="37">
        <f t="shared" si="79"/>
        <v>1.0834048315402701E-2</v>
      </c>
      <c r="AD133" s="40">
        <f t="shared" si="62"/>
        <v>1.0834048315402701E-2</v>
      </c>
      <c r="AE133" s="39">
        <f t="shared" si="70"/>
        <v>0.11188345936732562</v>
      </c>
      <c r="AF133" s="37">
        <f t="shared" si="63"/>
        <v>0.55468866336003797</v>
      </c>
      <c r="AG133" s="37">
        <f t="shared" si="80"/>
        <v>3.5998503051437028E-3</v>
      </c>
      <c r="AH133" s="37">
        <f t="shared" si="81"/>
        <v>4.7053180076691729E-2</v>
      </c>
      <c r="AI133" s="40">
        <f t="shared" si="64"/>
        <v>5.0653030381835433E-2</v>
      </c>
      <c r="AJ133" s="39">
        <f t="shared" si="65"/>
        <v>6.7808157192318554E-4</v>
      </c>
      <c r="AK133" s="37">
        <f t="shared" si="82"/>
        <v>4.3182453876415602E-2</v>
      </c>
      <c r="AL133" s="37">
        <f t="shared" si="83"/>
        <v>6.7200000000000011E-3</v>
      </c>
      <c r="AM133" s="37">
        <f t="shared" si="84"/>
        <v>0.85400000000000009</v>
      </c>
      <c r="AN133" s="40">
        <f t="shared" si="66"/>
        <v>0.86072000000000004</v>
      </c>
      <c r="AO133" s="39">
        <f t="shared" si="85"/>
        <v>1.446093712322684E-2</v>
      </c>
      <c r="AP133" s="37">
        <f t="shared" si="86"/>
        <v>2.1600000000000001E-2</v>
      </c>
      <c r="AQ133" s="40">
        <f t="shared" si="87"/>
        <v>2.2499999999999998E-3</v>
      </c>
      <c r="AR133" s="39">
        <f t="shared" si="67"/>
        <v>0.96051801582046492</v>
      </c>
      <c r="AS133" s="37">
        <f t="shared" si="68"/>
        <v>1.4280000000000002</v>
      </c>
      <c r="AT133" s="40">
        <f t="shared" si="69"/>
        <v>59.786025918229328</v>
      </c>
    </row>
    <row r="134" spans="17:46" x14ac:dyDescent="0.2">
      <c r="Q134">
        <v>127</v>
      </c>
      <c r="R134" s="39">
        <f t="shared" si="45"/>
        <v>170</v>
      </c>
      <c r="S134" s="37">
        <f t="shared" si="73"/>
        <v>8.4666666666666675E-3</v>
      </c>
      <c r="T134" s="37">
        <f t="shared" si="47"/>
        <v>5</v>
      </c>
      <c r="U134" s="40">
        <f t="shared" si="74"/>
        <v>0.33866666666666673</v>
      </c>
      <c r="V134" s="39">
        <f t="shared" si="75"/>
        <v>1</v>
      </c>
      <c r="W134" s="37">
        <f t="shared" si="76"/>
        <v>0.3343052497344306</v>
      </c>
      <c r="X134" s="40">
        <f t="shared" si="77"/>
        <v>2.0260924226329123E-3</v>
      </c>
      <c r="Y134" s="39">
        <f t="shared" si="78"/>
        <v>1.6715262486721532</v>
      </c>
      <c r="Z134" s="37">
        <f t="shared" si="71"/>
        <v>1.6715262486721532</v>
      </c>
      <c r="AA134" s="37">
        <f t="shared" si="72"/>
        <v>0.55967543272472831</v>
      </c>
      <c r="AB134" s="37">
        <v>0</v>
      </c>
      <c r="AC134" s="37">
        <f t="shared" si="79"/>
        <v>1.0963280649846417E-2</v>
      </c>
      <c r="AD134" s="40">
        <f t="shared" si="62"/>
        <v>1.0963280649846417E-2</v>
      </c>
      <c r="AE134" s="39">
        <f t="shared" si="70"/>
        <v>0.11321804457672718</v>
      </c>
      <c r="AF134" s="37">
        <f t="shared" si="63"/>
        <v>0.55798711686382141</v>
      </c>
      <c r="AG134" s="37">
        <f t="shared" si="80"/>
        <v>3.6427905842561989E-3</v>
      </c>
      <c r="AH134" s="37">
        <f t="shared" si="81"/>
        <v>4.7426618013808347E-2</v>
      </c>
      <c r="AI134" s="40">
        <f t="shared" si="64"/>
        <v>5.1069408598064546E-2</v>
      </c>
      <c r="AJ134" s="39">
        <f t="shared" si="65"/>
        <v>6.8616996713167979E-4</v>
      </c>
      <c r="AK134" s="37">
        <f t="shared" si="82"/>
        <v>4.3439238133421723E-2</v>
      </c>
      <c r="AL134" s="37">
        <f t="shared" si="83"/>
        <v>6.7733333333333343E-3</v>
      </c>
      <c r="AM134" s="37">
        <f t="shared" si="84"/>
        <v>0.85400000000000009</v>
      </c>
      <c r="AN134" s="40">
        <f t="shared" si="66"/>
        <v>0.86077333333333339</v>
      </c>
      <c r="AO134" s="39">
        <f t="shared" si="85"/>
        <v>1.4633432261541996E-2</v>
      </c>
      <c r="AP134" s="37">
        <f t="shared" si="86"/>
        <v>2.1600000000000001E-2</v>
      </c>
      <c r="AQ134" s="40">
        <f t="shared" si="87"/>
        <v>2.2499999999999998E-3</v>
      </c>
      <c r="AR134" s="39">
        <f t="shared" si="67"/>
        <v>0.96128945484278627</v>
      </c>
      <c r="AS134" s="37">
        <f t="shared" si="68"/>
        <v>1.4393333333333336</v>
      </c>
      <c r="AT134" s="40">
        <f t="shared" si="69"/>
        <v>59.956663763359138</v>
      </c>
    </row>
    <row r="135" spans="17:46" x14ac:dyDescent="0.2">
      <c r="Q135">
        <v>128</v>
      </c>
      <c r="R135" s="39">
        <f t="shared" ref="R135:R157" si="88">VOUT</f>
        <v>170</v>
      </c>
      <c r="S135" s="37">
        <f t="shared" ref="S135:S157" si="89">Q135*$O$12</f>
        <v>8.5333333333333337E-3</v>
      </c>
      <c r="T135" s="37">
        <f t="shared" ref="T135:T157" si="90">VIN_var</f>
        <v>5</v>
      </c>
      <c r="U135" s="40">
        <f t="shared" ref="U135:U157" si="91">(R135*S135)/(T135*EFF_est)</f>
        <v>0.34133333333333338</v>
      </c>
      <c r="V135" s="39">
        <f t="shared" ref="V135:V157" si="92">IF((S135*R135/T135)&lt;((T135*(1-(T135/R135)))/(2*Lm*Fsw)),1,2)</f>
        <v>1</v>
      </c>
      <c r="W135" s="37">
        <f t="shared" ref="W135:W157" si="93">CHOOSE(V135,SQRT((2*S135*Lm*Fsw*(R135-T135))/((T135)^2)),1-(T135/R135))</f>
        <v>0.33561883141444854</v>
      </c>
      <c r="X135" s="40">
        <f t="shared" ref="X135:X157" si="94">CHOOSE(V135,(Lm*W135*Fsw)/(R135-T135),1-W135)</f>
        <v>2.0340535237239302E-3</v>
      </c>
      <c r="Y135" s="39">
        <f t="shared" ref="Y135:Y157" si="95">(T135*W135)/(Lm*Fsw)</f>
        <v>1.678094157072243</v>
      </c>
      <c r="Z135" s="37">
        <f t="shared" si="71"/>
        <v>1.678094157072243</v>
      </c>
      <c r="AA135" s="37">
        <f t="shared" si="72"/>
        <v>0.56297736010899946</v>
      </c>
      <c r="AB135" s="37">
        <v>0</v>
      </c>
      <c r="AC135" s="37">
        <f t="shared" ref="AC135:AC157" si="96">(AA135^2)*Rdcr</f>
        <v>1.1093022779835433E-2</v>
      </c>
      <c r="AD135" s="40">
        <f t="shared" si="62"/>
        <v>1.1093022779835433E-2</v>
      </c>
      <c r="AE135" s="39">
        <f t="shared" si="70"/>
        <v>0.11455789445613178</v>
      </c>
      <c r="AF135" s="37">
        <f t="shared" si="63"/>
        <v>0.56127908366013657</v>
      </c>
      <c r="AG135" s="37">
        <f t="shared" ref="AG135:AG157" si="97">(AF135^2)*RDS_on</f>
        <v>3.6859002541260425E-3</v>
      </c>
      <c r="AH135" s="37">
        <f t="shared" ref="AH135:AH157" si="98">((R135*U135)/2)*Fsw*(tr_sw+tf_sw)</f>
        <v>4.7800055950924937E-2</v>
      </c>
      <c r="AI135" s="40">
        <f t="shared" si="64"/>
        <v>5.1485956205050983E-2</v>
      </c>
      <c r="AJ135" s="39">
        <f t="shared" si="65"/>
        <v>6.9429026943110164E-4</v>
      </c>
      <c r="AK135" s="37">
        <f t="shared" ref="AK135:AK157" si="99">CHOOSE(V135,Z135*SQRT(X135/3),SQRT(X135*((Z135^2)+((Y135^2)/3)-(Y135*Z135))))</f>
        <v>4.3695517400936336E-2</v>
      </c>
      <c r="AL135" s="37">
        <f t="shared" ref="AL135:AL157" si="100">S135*Vd_rect</f>
        <v>6.8266666666666675E-3</v>
      </c>
      <c r="AM135" s="37">
        <f t="shared" ref="AM135:AM157" si="101">CHOOSE(V135,(R135+Vd_rect)*Qrr*Fsw,(R135+Vd_rect)*Qrr*Fsw)</f>
        <v>0.85400000000000009</v>
      </c>
      <c r="AN135" s="40">
        <f t="shared" si="66"/>
        <v>0.86082666666666674</v>
      </c>
      <c r="AO135" s="39">
        <f t="shared" ref="AO135:AO157" si="102">(AF135^2)*R_cs</f>
        <v>1.4806607858455041E-2</v>
      </c>
      <c r="AP135" s="37">
        <f t="shared" ref="AP135:AP157" si="103">Qg_tot*Vcc*Fsw</f>
        <v>2.1600000000000001E-2</v>
      </c>
      <c r="AQ135" s="40">
        <f t="shared" ref="AQ135:AQ157" si="104">IQ*T135</f>
        <v>2.2499999999999998E-3</v>
      </c>
      <c r="AR135" s="39">
        <f t="shared" si="67"/>
        <v>0.96206225351000818</v>
      </c>
      <c r="AS135" s="37">
        <f t="shared" si="68"/>
        <v>1.4506666666666668</v>
      </c>
      <c r="AT135" s="40">
        <f t="shared" si="69"/>
        <v>60.125555529066233</v>
      </c>
    </row>
    <row r="136" spans="17:46" x14ac:dyDescent="0.2">
      <c r="Q136">
        <v>129</v>
      </c>
      <c r="R136" s="39">
        <f t="shared" si="88"/>
        <v>170</v>
      </c>
      <c r="S136" s="37">
        <f t="shared" si="89"/>
        <v>8.6E-3</v>
      </c>
      <c r="T136" s="37">
        <f t="shared" si="90"/>
        <v>5</v>
      </c>
      <c r="U136" s="40">
        <f t="shared" si="91"/>
        <v>0.34399999999999997</v>
      </c>
      <c r="V136" s="39">
        <f t="shared" si="92"/>
        <v>1</v>
      </c>
      <c r="W136" s="37">
        <f t="shared" si="93"/>
        <v>0.33692729185983133</v>
      </c>
      <c r="X136" s="40">
        <f t="shared" si="94"/>
        <v>2.0419835870292805E-3</v>
      </c>
      <c r="Y136" s="39">
        <f t="shared" si="95"/>
        <v>1.684636459299157</v>
      </c>
      <c r="Z136" s="37">
        <f t="shared" si="71"/>
        <v>1.684636459299157</v>
      </c>
      <c r="AA136" s="37">
        <f t="shared" si="72"/>
        <v>0.56627284463651462</v>
      </c>
      <c r="AB136" s="37">
        <v>0</v>
      </c>
      <c r="AC136" s="37">
        <f t="shared" si="96"/>
        <v>1.1223272710045558E-2</v>
      </c>
      <c r="AD136" s="40">
        <f t="shared" ref="AD136:AD157" si="105">AB136+AC136</f>
        <v>1.1223272710045558E-2</v>
      </c>
      <c r="AE136" s="39">
        <f t="shared" si="70"/>
        <v>0.11590298839978197</v>
      </c>
      <c r="AF136" s="37">
        <f t="shared" ref="AF136:AF157" si="106">CHOOSE(V136,Z136*SQRT(W136/3),SQRT(W136*((Z136^2)+((Y136^2)/3)-(Z136*Y136))))</f>
        <v>0.56456462703520527</v>
      </c>
      <c r="AG136" s="37">
        <f t="shared" si="97"/>
        <v>3.7291786517629848E-3</v>
      </c>
      <c r="AH136" s="37">
        <f t="shared" si="98"/>
        <v>4.8173493888041534E-2</v>
      </c>
      <c r="AI136" s="40">
        <f t="shared" ref="AI136:AI157" si="107">AG136+AH136</f>
        <v>5.1902672539804517E-2</v>
      </c>
      <c r="AJ136" s="39">
        <f t="shared" ref="AJ136:AJ156" si="108">X136*U136</f>
        <v>7.0244235393807238E-4</v>
      </c>
      <c r="AK136" s="37">
        <f t="shared" si="99"/>
        <v>4.3951296605785124E-2</v>
      </c>
      <c r="AL136" s="37">
        <f t="shared" si="100"/>
        <v>6.8800000000000007E-3</v>
      </c>
      <c r="AM136" s="37">
        <f t="shared" si="101"/>
        <v>0.85400000000000009</v>
      </c>
      <c r="AN136" s="40">
        <f t="shared" ref="AN136:AN157" si="109">AL136+AM136</f>
        <v>0.86088000000000009</v>
      </c>
      <c r="AO136" s="39">
        <f t="shared" si="102"/>
        <v>1.4980461250671819E-2</v>
      </c>
      <c r="AP136" s="37">
        <f t="shared" si="103"/>
        <v>2.1600000000000001E-2</v>
      </c>
      <c r="AQ136" s="40">
        <f t="shared" si="104"/>
        <v>2.2499999999999998E-3</v>
      </c>
      <c r="AR136" s="39">
        <f t="shared" ref="AR136:AR157" si="110">AO136+AN136+AI136+AD136+AP136+AQ136</f>
        <v>0.96283640650052194</v>
      </c>
      <c r="AS136" s="37">
        <f t="shared" ref="AS136:AS157" si="111">R136*S136</f>
        <v>1.462</v>
      </c>
      <c r="AT136" s="40">
        <f t="shared" ref="AT136:AT156" si="112">(AS136/(AS136+AR136))*100</f>
        <v>60.292727215768373</v>
      </c>
    </row>
    <row r="137" spans="17:46" x14ac:dyDescent="0.2">
      <c r="Q137">
        <v>130</v>
      </c>
      <c r="R137" s="39">
        <f t="shared" si="88"/>
        <v>170</v>
      </c>
      <c r="S137" s="37">
        <f t="shared" si="89"/>
        <v>8.6666666666666663E-3</v>
      </c>
      <c r="T137" s="37">
        <f t="shared" si="90"/>
        <v>5</v>
      </c>
      <c r="U137" s="40">
        <f t="shared" si="91"/>
        <v>0.34666666666666662</v>
      </c>
      <c r="V137" s="39">
        <f t="shared" si="92"/>
        <v>1</v>
      </c>
      <c r="W137" s="37">
        <f t="shared" si="93"/>
        <v>0.33823069050575522</v>
      </c>
      <c r="X137" s="40">
        <f t="shared" si="94"/>
        <v>2.0498829727621523E-3</v>
      </c>
      <c r="Y137" s="39">
        <f t="shared" si="95"/>
        <v>1.6911534525287764</v>
      </c>
      <c r="Z137" s="37">
        <f t="shared" si="71"/>
        <v>1.6911534525287764</v>
      </c>
      <c r="AA137" s="37">
        <f t="shared" si="72"/>
        <v>0.56956194867885379</v>
      </c>
      <c r="AB137" s="37">
        <v>0</v>
      </c>
      <c r="AC137" s="37">
        <f t="shared" si="96"/>
        <v>1.1354028468399864E-2</v>
      </c>
      <c r="AD137" s="40">
        <f t="shared" si="105"/>
        <v>1.1354028468399864E-2</v>
      </c>
      <c r="AE137" s="39">
        <f t="shared" ref="AE137:AE157" si="113">U137*W137</f>
        <v>0.11725330604199513</v>
      </c>
      <c r="AF137" s="37">
        <f t="shared" si="106"/>
        <v>0.5678438091724578</v>
      </c>
      <c r="AG137" s="37">
        <f t="shared" si="97"/>
        <v>3.7726251219011939E-3</v>
      </c>
      <c r="AH137" s="37">
        <f t="shared" si="98"/>
        <v>4.8546931825158124E-2</v>
      </c>
      <c r="AI137" s="40">
        <f t="shared" si="107"/>
        <v>5.2319556947059316E-2</v>
      </c>
      <c r="AJ137" s="39">
        <f t="shared" si="108"/>
        <v>7.1062609722421274E-4</v>
      </c>
      <c r="AK137" s="37">
        <f t="shared" si="99"/>
        <v>4.4206580588941571E-2</v>
      </c>
      <c r="AL137" s="37">
        <f t="shared" si="100"/>
        <v>6.933333333333333E-3</v>
      </c>
      <c r="AM137" s="37">
        <f t="shared" si="101"/>
        <v>0.85400000000000009</v>
      </c>
      <c r="AN137" s="40">
        <f t="shared" si="109"/>
        <v>0.86093333333333344</v>
      </c>
      <c r="AO137" s="39">
        <f t="shared" si="102"/>
        <v>1.5154989805927874E-2</v>
      </c>
      <c r="AP137" s="37">
        <f t="shared" si="103"/>
        <v>2.1600000000000001E-2</v>
      </c>
      <c r="AQ137" s="40">
        <f t="shared" si="104"/>
        <v>2.2499999999999998E-3</v>
      </c>
      <c r="AR137" s="39">
        <f t="shared" si="110"/>
        <v>0.96361190855472045</v>
      </c>
      <c r="AS137" s="37">
        <f t="shared" si="111"/>
        <v>1.4733333333333332</v>
      </c>
      <c r="AT137" s="40">
        <f t="shared" si="112"/>
        <v>60.458204312865469</v>
      </c>
    </row>
    <row r="138" spans="17:46" x14ac:dyDescent="0.2">
      <c r="Q138">
        <v>131</v>
      </c>
      <c r="R138" s="39">
        <f t="shared" si="88"/>
        <v>170</v>
      </c>
      <c r="S138" s="37">
        <f t="shared" si="89"/>
        <v>8.7333333333333343E-3</v>
      </c>
      <c r="T138" s="37">
        <f t="shared" si="90"/>
        <v>5</v>
      </c>
      <c r="U138" s="40">
        <f t="shared" si="91"/>
        <v>0.34933333333333338</v>
      </c>
      <c r="V138" s="39">
        <f t="shared" si="92"/>
        <v>1</v>
      </c>
      <c r="W138" s="37">
        <f t="shared" si="93"/>
        <v>0.33952908564657608</v>
      </c>
      <c r="X138" s="40">
        <f t="shared" si="94"/>
        <v>2.0577520342216727E-3</v>
      </c>
      <c r="Y138" s="39">
        <f t="shared" si="95"/>
        <v>1.6976454282328806</v>
      </c>
      <c r="Z138" s="37">
        <f t="shared" si="71"/>
        <v>1.6976454282328806</v>
      </c>
      <c r="AA138" s="37">
        <f t="shared" si="72"/>
        <v>0.57284473352909493</v>
      </c>
      <c r="AB138" s="37">
        <v>0</v>
      </c>
      <c r="AC138" s="37">
        <f t="shared" si="96"/>
        <v>1.1485288105620692E-2</v>
      </c>
      <c r="AD138" s="40">
        <f t="shared" si="105"/>
        <v>1.1485288105620692E-2</v>
      </c>
      <c r="AE138" s="39">
        <f t="shared" si="113"/>
        <v>0.11860882725253726</v>
      </c>
      <c r="AF138" s="37">
        <f t="shared" si="106"/>
        <v>0.57111669118007524</v>
      </c>
      <c r="AG138" s="37">
        <f t="shared" si="97"/>
        <v>3.816239016850386E-3</v>
      </c>
      <c r="AH138" s="37">
        <f t="shared" si="98"/>
        <v>4.8920369762274749E-2</v>
      </c>
      <c r="AI138" s="40">
        <f t="shared" si="107"/>
        <v>5.2736608779125137E-2</v>
      </c>
      <c r="AJ138" s="39">
        <f t="shared" si="108"/>
        <v>7.1884137728810442E-4</v>
      </c>
      <c r="AK138" s="37">
        <f t="shared" si="99"/>
        <v>4.4461374107671113E-2</v>
      </c>
      <c r="AL138" s="37">
        <f t="shared" si="100"/>
        <v>6.9866666666666679E-3</v>
      </c>
      <c r="AM138" s="37">
        <f t="shared" si="101"/>
        <v>0.85400000000000009</v>
      </c>
      <c r="AN138" s="40">
        <f t="shared" si="109"/>
        <v>0.86098666666666679</v>
      </c>
      <c r="AO138" s="39">
        <f t="shared" si="102"/>
        <v>1.5330190922390439E-2</v>
      </c>
      <c r="AP138" s="37">
        <f t="shared" si="103"/>
        <v>2.1600000000000001E-2</v>
      </c>
      <c r="AQ138" s="40">
        <f t="shared" si="104"/>
        <v>2.2499999999999998E-3</v>
      </c>
      <c r="AR138" s="39">
        <f t="shared" si="110"/>
        <v>0.9643887544738029</v>
      </c>
      <c r="AS138" s="37">
        <f t="shared" si="111"/>
        <v>1.4846666666666668</v>
      </c>
      <c r="AT138" s="40">
        <f t="shared" si="112"/>
        <v>60.622011811202348</v>
      </c>
    </row>
    <row r="139" spans="17:46" x14ac:dyDescent="0.2">
      <c r="Q139">
        <v>132</v>
      </c>
      <c r="R139" s="39">
        <f t="shared" si="88"/>
        <v>170</v>
      </c>
      <c r="S139" s="37">
        <f t="shared" si="89"/>
        <v>8.8000000000000005E-3</v>
      </c>
      <c r="T139" s="37">
        <f t="shared" si="90"/>
        <v>5</v>
      </c>
      <c r="U139" s="40">
        <f t="shared" si="91"/>
        <v>0.35199999999999998</v>
      </c>
      <c r="V139" s="39">
        <f t="shared" si="92"/>
        <v>1</v>
      </c>
      <c r="W139" s="37">
        <f t="shared" si="93"/>
        <v>0.34082253446625266</v>
      </c>
      <c r="X139" s="40">
        <f t="shared" si="94"/>
        <v>2.0655911179772884E-3</v>
      </c>
      <c r="Y139" s="39">
        <f t="shared" si="95"/>
        <v>1.7041126723312636</v>
      </c>
      <c r="Z139" s="37">
        <f t="shared" si="71"/>
        <v>1.7041126723312636</v>
      </c>
      <c r="AA139" s="37">
        <f t="shared" si="72"/>
        <v>0.57612125942854653</v>
      </c>
      <c r="AB139" s="37">
        <v>0</v>
      </c>
      <c r="AC139" s="37">
        <f t="shared" si="96"/>
        <v>1.1617049694793713E-2</v>
      </c>
      <c r="AD139" s="40">
        <f t="shared" si="105"/>
        <v>1.1617049694793713E-2</v>
      </c>
      <c r="AE139" s="39">
        <f t="shared" si="113"/>
        <v>0.11996953213212093</v>
      </c>
      <c r="AF139" s="37">
        <f t="shared" si="106"/>
        <v>0.57438333311764245</v>
      </c>
      <c r="AG139" s="37">
        <f t="shared" si="97"/>
        <v>3.8600196963509913E-3</v>
      </c>
      <c r="AH139" s="37">
        <f t="shared" si="98"/>
        <v>4.9293807699391338E-2</v>
      </c>
      <c r="AI139" s="40">
        <f t="shared" si="107"/>
        <v>5.3153827395742329E-2</v>
      </c>
      <c r="AJ139" s="39">
        <f t="shared" si="108"/>
        <v>7.2708807352800549E-4</v>
      </c>
      <c r="AK139" s="37">
        <f t="shared" si="99"/>
        <v>4.4715681837606089E-2</v>
      </c>
      <c r="AL139" s="37">
        <f t="shared" si="100"/>
        <v>7.0400000000000011E-3</v>
      </c>
      <c r="AM139" s="37">
        <f t="shared" si="101"/>
        <v>0.85400000000000009</v>
      </c>
      <c r="AN139" s="40">
        <f t="shared" si="109"/>
        <v>0.86104000000000014</v>
      </c>
      <c r="AO139" s="39">
        <f t="shared" si="102"/>
        <v>1.5506062028076632E-2</v>
      </c>
      <c r="AP139" s="37">
        <f t="shared" si="103"/>
        <v>2.1600000000000001E-2</v>
      </c>
      <c r="AQ139" s="40">
        <f t="shared" si="104"/>
        <v>2.2499999999999998E-3</v>
      </c>
      <c r="AR139" s="39">
        <f t="shared" si="110"/>
        <v>0.96516693911861273</v>
      </c>
      <c r="AS139" s="37">
        <f t="shared" si="111"/>
        <v>1.496</v>
      </c>
      <c r="AT139" s="40">
        <f t="shared" si="112"/>
        <v>60.78417421516901</v>
      </c>
    </row>
    <row r="140" spans="17:46" x14ac:dyDescent="0.2">
      <c r="Q140">
        <v>133</v>
      </c>
      <c r="R140" s="39">
        <f t="shared" si="88"/>
        <v>170</v>
      </c>
      <c r="S140" s="37">
        <f t="shared" si="89"/>
        <v>8.8666666666666668E-3</v>
      </c>
      <c r="T140" s="37">
        <f t="shared" si="90"/>
        <v>5</v>
      </c>
      <c r="U140" s="40">
        <f t="shared" si="91"/>
        <v>0.35466666666666669</v>
      </c>
      <c r="V140" s="39">
        <f t="shared" si="92"/>
        <v>1</v>
      </c>
      <c r="W140" s="37">
        <f t="shared" si="93"/>
        <v>0.34211109306773435</v>
      </c>
      <c r="X140" s="40">
        <f t="shared" si="94"/>
        <v>2.0734005640468747E-3</v>
      </c>
      <c r="Y140" s="39">
        <f t="shared" si="95"/>
        <v>1.7105554653386721</v>
      </c>
      <c r="Z140" s="37">
        <f t="shared" si="71"/>
        <v>1.7105554653386721</v>
      </c>
      <c r="AA140" s="37">
        <f t="shared" si="72"/>
        <v>0.57939158559262038</v>
      </c>
      <c r="AB140" s="37">
        <v>0</v>
      </c>
      <c r="AC140" s="37">
        <f t="shared" si="96"/>
        <v>1.1749311330943578E-2</v>
      </c>
      <c r="AD140" s="40">
        <f t="shared" si="105"/>
        <v>1.1749311330943578E-2</v>
      </c>
      <c r="AE140" s="39">
        <f t="shared" si="113"/>
        <v>0.12133540100802312</v>
      </c>
      <c r="AF140" s="37">
        <f t="shared" si="106"/>
        <v>0.57764379402194199</v>
      </c>
      <c r="AG140" s="37">
        <f t="shared" si="97"/>
        <v>3.9039665274331458E-3</v>
      </c>
      <c r="AH140" s="37">
        <f t="shared" si="98"/>
        <v>4.9667245636507942E-2</v>
      </c>
      <c r="AI140" s="40">
        <f t="shared" si="107"/>
        <v>5.357121216394109E-2</v>
      </c>
      <c r="AJ140" s="39">
        <f t="shared" si="108"/>
        <v>7.353660667152916E-4</v>
      </c>
      <c r="AK140" s="37">
        <f t="shared" si="99"/>
        <v>4.496950837475381E-2</v>
      </c>
      <c r="AL140" s="37">
        <f t="shared" si="100"/>
        <v>7.0933333333333334E-3</v>
      </c>
      <c r="AM140" s="37">
        <f t="shared" si="101"/>
        <v>0.85400000000000009</v>
      </c>
      <c r="AN140" s="40">
        <f t="shared" si="109"/>
        <v>0.86109333333333338</v>
      </c>
      <c r="AO140" s="39">
        <f t="shared" si="102"/>
        <v>1.5682600580286997E-2</v>
      </c>
      <c r="AP140" s="37">
        <f t="shared" si="103"/>
        <v>2.1600000000000001E-2</v>
      </c>
      <c r="AQ140" s="40">
        <f t="shared" si="104"/>
        <v>2.2499999999999998E-3</v>
      </c>
      <c r="AR140" s="39">
        <f t="shared" si="110"/>
        <v>0.96594645740850504</v>
      </c>
      <c r="AS140" s="37">
        <f t="shared" si="111"/>
        <v>1.5073333333333334</v>
      </c>
      <c r="AT140" s="40">
        <f t="shared" si="112"/>
        <v>60.944715554450958</v>
      </c>
    </row>
    <row r="141" spans="17:46" x14ac:dyDescent="0.2">
      <c r="Q141">
        <v>134</v>
      </c>
      <c r="R141" s="39">
        <f t="shared" si="88"/>
        <v>170</v>
      </c>
      <c r="S141" s="37">
        <f t="shared" si="89"/>
        <v>8.9333333333333331E-3</v>
      </c>
      <c r="T141" s="37">
        <f t="shared" si="90"/>
        <v>5</v>
      </c>
      <c r="U141" s="40">
        <f t="shared" si="91"/>
        <v>0.35733333333333334</v>
      </c>
      <c r="V141" s="39">
        <f t="shared" si="92"/>
        <v>1</v>
      </c>
      <c r="W141" s="37">
        <f t="shared" si="93"/>
        <v>0.34339481650135606</v>
      </c>
      <c r="X141" s="40">
        <f t="shared" si="94"/>
        <v>2.0811807060688243E-3</v>
      </c>
      <c r="Y141" s="39">
        <f t="shared" si="95"/>
        <v>1.7169740825067805</v>
      </c>
      <c r="Z141" s="37">
        <f t="shared" si="71"/>
        <v>1.7169740825067805</v>
      </c>
      <c r="AA141" s="37">
        <f t="shared" si="72"/>
        <v>0.58265577023587689</v>
      </c>
      <c r="AB141" s="37">
        <v>0</v>
      </c>
      <c r="AC141" s="37">
        <f t="shared" si="96"/>
        <v>1.1882071130620704E-2</v>
      </c>
      <c r="AD141" s="40">
        <f t="shared" si="105"/>
        <v>1.1882071130620704E-2</v>
      </c>
      <c r="AE141" s="39">
        <f t="shared" si="113"/>
        <v>0.1227064144298179</v>
      </c>
      <c r="AF141" s="37">
        <f t="shared" si="106"/>
        <v>0.58089813193192419</v>
      </c>
      <c r="AG141" s="37">
        <f t="shared" si="97"/>
        <v>3.9480788842793909E-3</v>
      </c>
      <c r="AH141" s="37">
        <f t="shared" si="98"/>
        <v>5.0040683573624546E-2</v>
      </c>
      <c r="AI141" s="40">
        <f t="shared" si="107"/>
        <v>5.398876245790394E-2</v>
      </c>
      <c r="AJ141" s="39">
        <f t="shared" si="108"/>
        <v>7.4367523896859324E-4</v>
      </c>
      <c r="AK141" s="37">
        <f t="shared" si="99"/>
        <v>4.5222858237440405E-2</v>
      </c>
      <c r="AL141" s="37">
        <f t="shared" si="100"/>
        <v>7.1466666666666666E-3</v>
      </c>
      <c r="AM141" s="37">
        <f t="shared" si="101"/>
        <v>0.85400000000000009</v>
      </c>
      <c r="AN141" s="40">
        <f t="shared" si="109"/>
        <v>0.86114666666666673</v>
      </c>
      <c r="AO141" s="39">
        <f t="shared" si="102"/>
        <v>1.5859804065053964E-2</v>
      </c>
      <c r="AP141" s="37">
        <f t="shared" si="103"/>
        <v>2.1600000000000001E-2</v>
      </c>
      <c r="AQ141" s="40">
        <f t="shared" si="104"/>
        <v>2.2499999999999998E-3</v>
      </c>
      <c r="AR141" s="39">
        <f t="shared" si="110"/>
        <v>0.96672730432024523</v>
      </c>
      <c r="AS141" s="37">
        <f t="shared" si="111"/>
        <v>1.5186666666666666</v>
      </c>
      <c r="AT141" s="40">
        <f t="shared" si="112"/>
        <v>61.103659395440921</v>
      </c>
    </row>
    <row r="142" spans="17:46" x14ac:dyDescent="0.2">
      <c r="Q142">
        <v>135</v>
      </c>
      <c r="R142" s="39">
        <f t="shared" si="88"/>
        <v>170</v>
      </c>
      <c r="S142" s="37">
        <f t="shared" si="89"/>
        <v>9.0000000000000011E-3</v>
      </c>
      <c r="T142" s="37">
        <f t="shared" si="90"/>
        <v>5</v>
      </c>
      <c r="U142" s="40">
        <f t="shared" si="91"/>
        <v>0.36000000000000004</v>
      </c>
      <c r="V142" s="39">
        <f t="shared" si="92"/>
        <v>1</v>
      </c>
      <c r="W142" s="37">
        <f t="shared" si="93"/>
        <v>0.34467375879228168</v>
      </c>
      <c r="X142" s="40">
        <f t="shared" si="94"/>
        <v>2.0889318714683736E-3</v>
      </c>
      <c r="Y142" s="39">
        <f t="shared" si="95"/>
        <v>1.7233687939614086</v>
      </c>
      <c r="Z142" s="37">
        <f t="shared" si="71"/>
        <v>1.7233687939614086</v>
      </c>
      <c r="AA142" s="37">
        <f t="shared" si="72"/>
        <v>0.58591387059627842</v>
      </c>
      <c r="AB142" s="37">
        <v>0</v>
      </c>
      <c r="AC142" s="37">
        <f t="shared" si="96"/>
        <v>1.2015327231498939E-2</v>
      </c>
      <c r="AD142" s="40">
        <f t="shared" si="105"/>
        <v>1.2015327231498939E-2</v>
      </c>
      <c r="AE142" s="39">
        <f t="shared" si="113"/>
        <v>0.12408255316522142</v>
      </c>
      <c r="AF142" s="37">
        <f t="shared" si="106"/>
        <v>0.58414640391288797</v>
      </c>
      <c r="AG142" s="37">
        <f t="shared" si="97"/>
        <v>3.9923561480909994E-3</v>
      </c>
      <c r="AH142" s="37">
        <f t="shared" si="98"/>
        <v>5.041412151074115E-2</v>
      </c>
      <c r="AI142" s="40">
        <f t="shared" si="107"/>
        <v>5.440647765883215E-2</v>
      </c>
      <c r="AJ142" s="39">
        <f t="shared" si="108"/>
        <v>7.5201547372861458E-4</v>
      </c>
      <c r="AK142" s="37">
        <f t="shared" si="99"/>
        <v>4.5475735868193382E-2</v>
      </c>
      <c r="AL142" s="37">
        <f t="shared" si="100"/>
        <v>7.2000000000000015E-3</v>
      </c>
      <c r="AM142" s="37">
        <f t="shared" si="101"/>
        <v>0.85400000000000009</v>
      </c>
      <c r="AN142" s="40">
        <f t="shared" si="109"/>
        <v>0.86120000000000008</v>
      </c>
      <c r="AO142" s="39">
        <f t="shared" si="102"/>
        <v>1.6037669996604869E-2</v>
      </c>
      <c r="AP142" s="37">
        <f t="shared" si="103"/>
        <v>2.1600000000000001E-2</v>
      </c>
      <c r="AQ142" s="40">
        <f t="shared" si="104"/>
        <v>2.2499999999999998E-3</v>
      </c>
      <c r="AR142" s="39">
        <f t="shared" si="110"/>
        <v>0.96750947488693584</v>
      </c>
      <c r="AS142" s="37">
        <f t="shared" si="111"/>
        <v>1.5300000000000002</v>
      </c>
      <c r="AT142" s="40">
        <f t="shared" si="112"/>
        <v>61.261028852323548</v>
      </c>
    </row>
    <row r="143" spans="17:46" x14ac:dyDescent="0.2">
      <c r="Q143">
        <v>136</v>
      </c>
      <c r="R143" s="39">
        <f t="shared" si="88"/>
        <v>170</v>
      </c>
      <c r="S143" s="37">
        <f t="shared" si="89"/>
        <v>9.0666666666666673E-3</v>
      </c>
      <c r="T143" s="37">
        <f t="shared" si="90"/>
        <v>5</v>
      </c>
      <c r="U143" s="40">
        <f t="shared" si="91"/>
        <v>0.36266666666666669</v>
      </c>
      <c r="V143" s="39">
        <f t="shared" si="92"/>
        <v>1</v>
      </c>
      <c r="W143" s="37">
        <f t="shared" si="93"/>
        <v>0.34594797296703445</v>
      </c>
      <c r="X143" s="40">
        <f t="shared" si="94"/>
        <v>2.0966543816183904E-3</v>
      </c>
      <c r="Y143" s="39">
        <f t="shared" si="95"/>
        <v>1.7297398648351725</v>
      </c>
      <c r="Z143" s="37">
        <f t="shared" si="71"/>
        <v>1.7297398648351725</v>
      </c>
      <c r="AA143" s="37">
        <f t="shared" si="72"/>
        <v>0.5891659429586793</v>
      </c>
      <c r="AB143" s="37">
        <v>0</v>
      </c>
      <c r="AC143" s="37">
        <f t="shared" si="96"/>
        <v>1.2149077791983643E-2</v>
      </c>
      <c r="AD143" s="40">
        <f t="shared" si="105"/>
        <v>1.2149077791983643E-2</v>
      </c>
      <c r="AE143" s="39">
        <f t="shared" si="113"/>
        <v>0.1254637981960445</v>
      </c>
      <c r="AF143" s="37">
        <f t="shared" si="106"/>
        <v>0.58738866607989848</v>
      </c>
      <c r="AG143" s="37">
        <f t="shared" si="97"/>
        <v>4.0367977069577328E-3</v>
      </c>
      <c r="AH143" s="37">
        <f t="shared" si="98"/>
        <v>5.0787559447857747E-2</v>
      </c>
      <c r="AI143" s="40">
        <f t="shared" si="107"/>
        <v>5.4824357154815477E-2</v>
      </c>
      <c r="AJ143" s="39">
        <f t="shared" si="108"/>
        <v>7.6038665573360299E-4</v>
      </c>
      <c r="AK143" s="37">
        <f t="shared" si="99"/>
        <v>4.5728145635564627E-2</v>
      </c>
      <c r="AL143" s="37">
        <f t="shared" si="100"/>
        <v>7.2533333333333339E-3</v>
      </c>
      <c r="AM143" s="37">
        <f t="shared" si="101"/>
        <v>0.85400000000000009</v>
      </c>
      <c r="AN143" s="40">
        <f t="shared" si="109"/>
        <v>0.86125333333333343</v>
      </c>
      <c r="AO143" s="39">
        <f t="shared" si="102"/>
        <v>1.6216195916838757E-2</v>
      </c>
      <c r="AP143" s="37">
        <f t="shared" si="103"/>
        <v>2.1600000000000001E-2</v>
      </c>
      <c r="AQ143" s="40">
        <f t="shared" si="104"/>
        <v>2.2499999999999998E-3</v>
      </c>
      <c r="AR143" s="39">
        <f t="shared" si="110"/>
        <v>0.9682929641969712</v>
      </c>
      <c r="AS143" s="37">
        <f t="shared" si="111"/>
        <v>1.5413333333333334</v>
      </c>
      <c r="AT143" s="40">
        <f t="shared" si="112"/>
        <v>61.416846597843765</v>
      </c>
    </row>
    <row r="144" spans="17:46" x14ac:dyDescent="0.2">
      <c r="Q144">
        <v>137</v>
      </c>
      <c r="R144" s="39">
        <f t="shared" si="88"/>
        <v>170</v>
      </c>
      <c r="S144" s="37">
        <f t="shared" si="89"/>
        <v>9.1333333333333336E-3</v>
      </c>
      <c r="T144" s="37">
        <f t="shared" si="90"/>
        <v>5</v>
      </c>
      <c r="U144" s="40">
        <f t="shared" si="91"/>
        <v>0.36533333333333334</v>
      </c>
      <c r="V144" s="39">
        <f t="shared" si="92"/>
        <v>1</v>
      </c>
      <c r="W144" s="37">
        <f t="shared" si="93"/>
        <v>0.3472175110791505</v>
      </c>
      <c r="X144" s="40">
        <f t="shared" si="94"/>
        <v>2.1043485519948511E-3</v>
      </c>
      <c r="Y144" s="39">
        <f t="shared" si="95"/>
        <v>1.7360875553957527</v>
      </c>
      <c r="Z144" s="37">
        <f t="shared" ref="Z144:Z157" si="114">CHOOSE(V144,Y144,U144+(0.5*Y144))</f>
        <v>1.7360875553957527</v>
      </c>
      <c r="AA144" s="37">
        <f t="shared" ref="AA144:AA157" si="115">CHOOSE(V144,Z144*SQRT((W144+X144)/3),SQRT((U144^2)+((Y144^2)/12)))</f>
        <v>0.59241204267758107</v>
      </c>
      <c r="AB144" s="37">
        <v>0</v>
      </c>
      <c r="AC144" s="37">
        <f t="shared" si="96"/>
        <v>1.2283320990829846E-2</v>
      </c>
      <c r="AD144" s="40">
        <f t="shared" si="105"/>
        <v>1.2283320990829846E-2</v>
      </c>
      <c r="AE144" s="39">
        <f t="shared" si="113"/>
        <v>0.12685013071424966</v>
      </c>
      <c r="AF144" s="37">
        <f t="shared" si="106"/>
        <v>0.59062497362047484</v>
      </c>
      <c r="AG144" s="37">
        <f t="shared" si="97"/>
        <v>4.0814029557309835E-3</v>
      </c>
      <c r="AH144" s="37">
        <f t="shared" si="98"/>
        <v>5.1160997384974344E-2</v>
      </c>
      <c r="AI144" s="40">
        <f t="shared" si="107"/>
        <v>5.5242400340705329E-2</v>
      </c>
      <c r="AJ144" s="39">
        <f t="shared" si="108"/>
        <v>7.687886709954523E-4</v>
      </c>
      <c r="AK144" s="37">
        <f t="shared" si="99"/>
        <v>4.59800918358967E-2</v>
      </c>
      <c r="AL144" s="37">
        <f t="shared" si="100"/>
        <v>7.306666666666667E-3</v>
      </c>
      <c r="AM144" s="37">
        <f t="shared" si="101"/>
        <v>0.85400000000000009</v>
      </c>
      <c r="AN144" s="40">
        <f t="shared" si="109"/>
        <v>0.86130666666666678</v>
      </c>
      <c r="AO144" s="39">
        <f t="shared" si="102"/>
        <v>1.6395379394816771E-2</v>
      </c>
      <c r="AP144" s="37">
        <f t="shared" si="103"/>
        <v>2.1600000000000001E-2</v>
      </c>
      <c r="AQ144" s="40">
        <f t="shared" si="104"/>
        <v>2.2499999999999998E-3</v>
      </c>
      <c r="AR144" s="39">
        <f t="shared" si="110"/>
        <v>0.96907776739301865</v>
      </c>
      <c r="AS144" s="37">
        <f t="shared" si="111"/>
        <v>1.5526666666666666</v>
      </c>
      <c r="AT144" s="40">
        <f t="shared" si="112"/>
        <v>61.571134873769608</v>
      </c>
    </row>
    <row r="145" spans="17:46" x14ac:dyDescent="0.2">
      <c r="Q145">
        <v>138</v>
      </c>
      <c r="R145" s="39">
        <f t="shared" si="88"/>
        <v>170</v>
      </c>
      <c r="S145" s="37">
        <f t="shared" si="89"/>
        <v>9.1999999999999998E-3</v>
      </c>
      <c r="T145" s="37">
        <f t="shared" si="90"/>
        <v>5</v>
      </c>
      <c r="U145" s="40">
        <f t="shared" si="91"/>
        <v>0.36799999999999999</v>
      </c>
      <c r="V145" s="39">
        <f t="shared" si="92"/>
        <v>1</v>
      </c>
      <c r="W145" s="37">
        <f t="shared" si="93"/>
        <v>0.34848242423399206</v>
      </c>
      <c r="X145" s="40">
        <f t="shared" si="94"/>
        <v>2.1120146923272248E-3</v>
      </c>
      <c r="Y145" s="39">
        <f t="shared" si="95"/>
        <v>1.7424121211699606</v>
      </c>
      <c r="Z145" s="37">
        <f t="shared" si="114"/>
        <v>1.7424121211699606</v>
      </c>
      <c r="AA145" s="37">
        <f t="shared" si="115"/>
        <v>0.59565222419918429</v>
      </c>
      <c r="AB145" s="37">
        <v>0</v>
      </c>
      <c r="AC145" s="37">
        <f t="shared" si="96"/>
        <v>1.2418055026770236E-2</v>
      </c>
      <c r="AD145" s="40">
        <f t="shared" si="105"/>
        <v>1.2418055026770236E-2</v>
      </c>
      <c r="AE145" s="39">
        <f t="shared" si="113"/>
        <v>0.12824153211810907</v>
      </c>
      <c r="AF145" s="37">
        <f t="shared" si="106"/>
        <v>0.59385538081657563</v>
      </c>
      <c r="AG145" s="37">
        <f t="shared" si="97"/>
        <v>4.1261712959001608E-3</v>
      </c>
      <c r="AH145" s="37">
        <f t="shared" si="98"/>
        <v>5.1534435322090948E-2</v>
      </c>
      <c r="AI145" s="40">
        <f t="shared" si="107"/>
        <v>5.5660606617991111E-2</v>
      </c>
      <c r="AJ145" s="39">
        <f t="shared" si="108"/>
        <v>7.7722140677641868E-4</v>
      </c>
      <c r="AK145" s="37">
        <f t="shared" si="99"/>
        <v>4.6231578695034331E-2</v>
      </c>
      <c r="AL145" s="37">
        <f t="shared" si="100"/>
        <v>7.3600000000000002E-3</v>
      </c>
      <c r="AM145" s="37">
        <f t="shared" si="101"/>
        <v>0.85400000000000009</v>
      </c>
      <c r="AN145" s="40">
        <f t="shared" si="109"/>
        <v>0.86136000000000013</v>
      </c>
      <c r="AO145" s="39">
        <f t="shared" si="102"/>
        <v>1.6575218026265603E-2</v>
      </c>
      <c r="AP145" s="37">
        <f t="shared" si="103"/>
        <v>2.1600000000000001E-2</v>
      </c>
      <c r="AQ145" s="40">
        <f t="shared" si="104"/>
        <v>2.2499999999999998E-3</v>
      </c>
      <c r="AR145" s="39">
        <f t="shared" si="110"/>
        <v>0.96986387967102705</v>
      </c>
      <c r="AS145" s="37">
        <f t="shared" si="111"/>
        <v>1.5640000000000001</v>
      </c>
      <c r="AT145" s="40">
        <f t="shared" si="112"/>
        <v>61.723915501059004</v>
      </c>
    </row>
    <row r="146" spans="17:46" x14ac:dyDescent="0.2">
      <c r="Q146">
        <v>139</v>
      </c>
      <c r="R146" s="39">
        <f t="shared" si="88"/>
        <v>170</v>
      </c>
      <c r="S146" s="37">
        <f t="shared" si="89"/>
        <v>9.2666666666666678E-3</v>
      </c>
      <c r="T146" s="37">
        <f t="shared" si="90"/>
        <v>5</v>
      </c>
      <c r="U146" s="40">
        <f t="shared" si="91"/>
        <v>0.3706666666666667</v>
      </c>
      <c r="V146" s="39">
        <f t="shared" si="92"/>
        <v>1</v>
      </c>
      <c r="W146" s="37">
        <f t="shared" si="93"/>
        <v>0.34974276261275228</v>
      </c>
      <c r="X146" s="40">
        <f t="shared" si="94"/>
        <v>2.1196531067439531E-3</v>
      </c>
      <c r="Y146" s="39">
        <f t="shared" si="95"/>
        <v>1.7487138130637616</v>
      </c>
      <c r="Z146" s="37">
        <f t="shared" si="114"/>
        <v>1.7487138130637616</v>
      </c>
      <c r="AA146" s="37">
        <f t="shared" si="115"/>
        <v>0.59888654108276074</v>
      </c>
      <c r="AB146" s="37">
        <v>0</v>
      </c>
      <c r="AC146" s="37">
        <f t="shared" si="96"/>
        <v>1.2553278118152565E-2</v>
      </c>
      <c r="AD146" s="40">
        <f t="shared" si="105"/>
        <v>1.2553278118152565E-2</v>
      </c>
      <c r="AE146" s="39">
        <f t="shared" si="113"/>
        <v>0.12963798400846019</v>
      </c>
      <c r="AF146" s="37">
        <f t="shared" si="106"/>
        <v>0.59707994106590589</v>
      </c>
      <c r="AG146" s="37">
        <f t="shared" si="97"/>
        <v>4.1711021354722084E-3</v>
      </c>
      <c r="AH146" s="37">
        <f t="shared" si="98"/>
        <v>5.1907873259207551E-2</v>
      </c>
      <c r="AI146" s="40">
        <f t="shared" si="107"/>
        <v>5.6078975394679757E-2</v>
      </c>
      <c r="AJ146" s="39">
        <f t="shared" si="108"/>
        <v>7.8568475156642534E-4</v>
      </c>
      <c r="AK146" s="37">
        <f t="shared" si="99"/>
        <v>4.6482610369983204E-2</v>
      </c>
      <c r="AL146" s="37">
        <f t="shared" si="100"/>
        <v>7.4133333333333343E-3</v>
      </c>
      <c r="AM146" s="37">
        <f t="shared" si="101"/>
        <v>0.85400000000000009</v>
      </c>
      <c r="AN146" s="40">
        <f t="shared" si="109"/>
        <v>0.86141333333333348</v>
      </c>
      <c r="AO146" s="39">
        <f t="shared" si="102"/>
        <v>1.6755709433093485E-2</v>
      </c>
      <c r="AP146" s="37">
        <f t="shared" si="103"/>
        <v>2.1600000000000001E-2</v>
      </c>
      <c r="AQ146" s="40">
        <f t="shared" si="104"/>
        <v>2.2499999999999998E-3</v>
      </c>
      <c r="AR146" s="39">
        <f t="shared" si="110"/>
        <v>0.97065129627925917</v>
      </c>
      <c r="AS146" s="37">
        <f t="shared" si="111"/>
        <v>1.5753333333333335</v>
      </c>
      <c r="AT146" s="40">
        <f t="shared" si="112"/>
        <v>61.87520988974088</v>
      </c>
    </row>
    <row r="147" spans="17:46" x14ac:dyDescent="0.2">
      <c r="Q147">
        <v>140</v>
      </c>
      <c r="R147" s="39">
        <f t="shared" si="88"/>
        <v>170</v>
      </c>
      <c r="S147" s="37">
        <f t="shared" si="89"/>
        <v>9.3333333333333341E-3</v>
      </c>
      <c r="T147" s="37">
        <f t="shared" si="90"/>
        <v>5</v>
      </c>
      <c r="U147" s="40">
        <f t="shared" si="91"/>
        <v>0.37333333333333341</v>
      </c>
      <c r="V147" s="39">
        <f t="shared" si="92"/>
        <v>1</v>
      </c>
      <c r="W147" s="37">
        <f t="shared" si="93"/>
        <v>0.35099857549568486</v>
      </c>
      <c r="X147" s="40">
        <f t="shared" si="94"/>
        <v>2.1272640939132411E-3</v>
      </c>
      <c r="Y147" s="39">
        <f t="shared" si="95"/>
        <v>1.7549928774784245</v>
      </c>
      <c r="Z147" s="37">
        <f t="shared" si="114"/>
        <v>1.7549928774784245</v>
      </c>
      <c r="AA147" s="37">
        <f t="shared" si="115"/>
        <v>0.60211504602137356</v>
      </c>
      <c r="AB147" s="37">
        <v>0</v>
      </c>
      <c r="AC147" s="37">
        <f t="shared" si="96"/>
        <v>1.2688988502586228E-2</v>
      </c>
      <c r="AD147" s="40">
        <f t="shared" si="105"/>
        <v>1.2688988502586228E-2</v>
      </c>
      <c r="AE147" s="39">
        <f t="shared" si="113"/>
        <v>0.13103946818505571</v>
      </c>
      <c r="AF147" s="37">
        <f t="shared" si="106"/>
        <v>0.60029870690257459</v>
      </c>
      <c r="AG147" s="37">
        <f t="shared" si="97"/>
        <v>4.2161948888541669E-3</v>
      </c>
      <c r="AH147" s="37">
        <f t="shared" si="98"/>
        <v>5.2281311196324155E-2</v>
      </c>
      <c r="AI147" s="40">
        <f t="shared" si="107"/>
        <v>5.6497506085178326E-2</v>
      </c>
      <c r="AJ147" s="39">
        <f t="shared" si="108"/>
        <v>7.9417859506094354E-4</v>
      </c>
      <c r="AK147" s="37">
        <f t="shared" si="99"/>
        <v>4.6733190950518179E-2</v>
      </c>
      <c r="AL147" s="37">
        <f t="shared" si="100"/>
        <v>7.4666666666666675E-3</v>
      </c>
      <c r="AM147" s="37">
        <f t="shared" si="101"/>
        <v>0.85400000000000009</v>
      </c>
      <c r="AN147" s="40">
        <f t="shared" si="109"/>
        <v>0.86146666666666671</v>
      </c>
      <c r="AO147" s="39">
        <f t="shared" si="102"/>
        <v>1.693685126291845E-2</v>
      </c>
      <c r="AP147" s="37">
        <f t="shared" si="103"/>
        <v>2.1600000000000001E-2</v>
      </c>
      <c r="AQ147" s="40">
        <f t="shared" si="104"/>
        <v>2.2499999999999998E-3</v>
      </c>
      <c r="AR147" s="39">
        <f t="shared" si="110"/>
        <v>0.97144001251734968</v>
      </c>
      <c r="AS147" s="37">
        <f t="shared" si="111"/>
        <v>1.5866666666666669</v>
      </c>
      <c r="AT147" s="40">
        <f t="shared" si="112"/>
        <v>62.025039048519318</v>
      </c>
    </row>
    <row r="148" spans="17:46" x14ac:dyDescent="0.2">
      <c r="Q148">
        <v>141</v>
      </c>
      <c r="R148" s="39">
        <f t="shared" si="88"/>
        <v>170</v>
      </c>
      <c r="S148" s="37">
        <f t="shared" si="89"/>
        <v>9.4000000000000004E-3</v>
      </c>
      <c r="T148" s="37">
        <f t="shared" si="90"/>
        <v>5</v>
      </c>
      <c r="U148" s="40">
        <f t="shared" si="91"/>
        <v>0.376</v>
      </c>
      <c r="V148" s="39">
        <f t="shared" si="92"/>
        <v>1</v>
      </c>
      <c r="W148" s="37">
        <f t="shared" si="93"/>
        <v>0.35224991128458782</v>
      </c>
      <c r="X148" s="40">
        <f t="shared" si="94"/>
        <v>2.1348479471793198E-3</v>
      </c>
      <c r="Y148" s="39">
        <f t="shared" si="95"/>
        <v>1.7612495564229393</v>
      </c>
      <c r="Z148" s="37">
        <f t="shared" si="114"/>
        <v>1.7612495564229393</v>
      </c>
      <c r="AA148" s="37">
        <f t="shared" si="115"/>
        <v>0.60533779086196771</v>
      </c>
      <c r="AB148" s="37">
        <v>0</v>
      </c>
      <c r="AC148" s="37">
        <f t="shared" si="96"/>
        <v>1.2825184436597659E-2</v>
      </c>
      <c r="AD148" s="40">
        <f t="shared" si="105"/>
        <v>1.2825184436597659E-2</v>
      </c>
      <c r="AE148" s="39">
        <f t="shared" si="113"/>
        <v>0.13244596664300501</v>
      </c>
      <c r="AF148" s="37">
        <f t="shared" si="106"/>
        <v>0.60351173001712555</v>
      </c>
      <c r="AG148" s="37">
        <f t="shared" si="97"/>
        <v>4.2614489767386875E-3</v>
      </c>
      <c r="AH148" s="37">
        <f t="shared" si="98"/>
        <v>5.2654749133440745E-2</v>
      </c>
      <c r="AI148" s="40">
        <f t="shared" si="107"/>
        <v>5.6916198110179436E-2</v>
      </c>
      <c r="AJ148" s="39">
        <f t="shared" si="108"/>
        <v>8.027028281394243E-4</v>
      </c>
      <c r="AK148" s="37">
        <f t="shared" si="99"/>
        <v>4.6983324460742631E-2</v>
      </c>
      <c r="AL148" s="37">
        <f t="shared" si="100"/>
        <v>7.5200000000000006E-3</v>
      </c>
      <c r="AM148" s="37">
        <f t="shared" si="101"/>
        <v>0.85400000000000009</v>
      </c>
      <c r="AN148" s="40">
        <f t="shared" si="109"/>
        <v>0.86152000000000006</v>
      </c>
      <c r="AO148" s="39">
        <f t="shared" si="102"/>
        <v>1.71186411886084E-2</v>
      </c>
      <c r="AP148" s="37">
        <f t="shared" si="103"/>
        <v>2.1600000000000001E-2</v>
      </c>
      <c r="AQ148" s="40">
        <f t="shared" si="104"/>
        <v>2.2499999999999998E-3</v>
      </c>
      <c r="AR148" s="39">
        <f t="shared" si="110"/>
        <v>0.97223002373538547</v>
      </c>
      <c r="AS148" s="37">
        <f t="shared" si="111"/>
        <v>1.5980000000000001</v>
      </c>
      <c r="AT148" s="40">
        <f t="shared" si="112"/>
        <v>62.17342359411019</v>
      </c>
    </row>
    <row r="149" spans="17:46" x14ac:dyDescent="0.2">
      <c r="Q149">
        <v>142</v>
      </c>
      <c r="R149" s="39">
        <f t="shared" si="88"/>
        <v>170</v>
      </c>
      <c r="S149" s="37">
        <f t="shared" si="89"/>
        <v>9.4666666666666666E-3</v>
      </c>
      <c r="T149" s="37">
        <f t="shared" si="90"/>
        <v>5</v>
      </c>
      <c r="U149" s="40">
        <f t="shared" si="91"/>
        <v>0.37866666666666665</v>
      </c>
      <c r="V149" s="39">
        <f t="shared" si="92"/>
        <v>1</v>
      </c>
      <c r="W149" s="37">
        <f t="shared" si="93"/>
        <v>0.35349681752457118</v>
      </c>
      <c r="X149" s="40">
        <f t="shared" si="94"/>
        <v>2.1424049546943705E-3</v>
      </c>
      <c r="Y149" s="39">
        <f t="shared" si="95"/>
        <v>1.7674840876228561</v>
      </c>
      <c r="Z149" s="37">
        <f t="shared" si="114"/>
        <v>1.7674840876228561</v>
      </c>
      <c r="AA149" s="37">
        <f t="shared" si="115"/>
        <v>0.60855482662485594</v>
      </c>
      <c r="AB149" s="37">
        <v>0</v>
      </c>
      <c r="AC149" s="37">
        <f t="shared" si="96"/>
        <v>1.2961864195294296E-2</v>
      </c>
      <c r="AD149" s="40">
        <f t="shared" si="105"/>
        <v>1.2961864195294296E-2</v>
      </c>
      <c r="AE149" s="39">
        <f t="shared" si="113"/>
        <v>0.13385746156930428</v>
      </c>
      <c r="AF149" s="37">
        <f t="shared" si="106"/>
        <v>0.60671906127596387</v>
      </c>
      <c r="AG149" s="37">
        <f t="shared" si="97"/>
        <v>4.3068638259923658E-3</v>
      </c>
      <c r="AH149" s="37">
        <f t="shared" si="98"/>
        <v>5.3028187070557349E-2</v>
      </c>
      <c r="AI149" s="40">
        <f t="shared" si="107"/>
        <v>5.7335050896549715E-2</v>
      </c>
      <c r="AJ149" s="39">
        <f t="shared" si="108"/>
        <v>8.1125734284426829E-4</v>
      </c>
      <c r="AK149" s="37">
        <f t="shared" si="99"/>
        <v>4.7233014860600823E-2</v>
      </c>
      <c r="AL149" s="37">
        <f t="shared" si="100"/>
        <v>7.5733333333333338E-3</v>
      </c>
      <c r="AM149" s="37">
        <f t="shared" si="101"/>
        <v>0.85400000000000009</v>
      </c>
      <c r="AN149" s="40">
        <f t="shared" si="109"/>
        <v>0.86157333333333341</v>
      </c>
      <c r="AO149" s="39">
        <f t="shared" si="102"/>
        <v>1.7301076907832579E-2</v>
      </c>
      <c r="AP149" s="37">
        <f t="shared" si="103"/>
        <v>2.1600000000000001E-2</v>
      </c>
      <c r="AQ149" s="40">
        <f t="shared" si="104"/>
        <v>2.2499999999999998E-3</v>
      </c>
      <c r="AR149" s="39">
        <f t="shared" si="110"/>
        <v>0.97302132533300989</v>
      </c>
      <c r="AS149" s="37">
        <f t="shared" si="111"/>
        <v>1.6093333333333333</v>
      </c>
      <c r="AT149" s="40">
        <f t="shared" si="112"/>
        <v>62.320383760318698</v>
      </c>
    </row>
    <row r="150" spans="17:46" x14ac:dyDescent="0.2">
      <c r="Q150">
        <v>143</v>
      </c>
      <c r="R150" s="39">
        <f t="shared" si="88"/>
        <v>170</v>
      </c>
      <c r="S150" s="37">
        <f t="shared" si="89"/>
        <v>9.5333333333333346E-3</v>
      </c>
      <c r="T150" s="37">
        <f t="shared" si="90"/>
        <v>5</v>
      </c>
      <c r="U150" s="40">
        <f t="shared" si="91"/>
        <v>0.38133333333333341</v>
      </c>
      <c r="V150" s="39">
        <f t="shared" si="92"/>
        <v>1</v>
      </c>
      <c r="W150" s="37">
        <f t="shared" si="93"/>
        <v>0.3547393409251362</v>
      </c>
      <c r="X150" s="40">
        <f t="shared" si="94"/>
        <v>2.1499353995462801E-3</v>
      </c>
      <c r="Y150" s="39">
        <f t="shared" si="95"/>
        <v>1.7736967046256813</v>
      </c>
      <c r="Z150" s="37">
        <f t="shared" si="114"/>
        <v>1.7736967046256813</v>
      </c>
      <c r="AA150" s="37">
        <f t="shared" si="115"/>
        <v>0.61176620352262334</v>
      </c>
      <c r="AB150" s="37">
        <v>0</v>
      </c>
      <c r="AC150" s="37">
        <f t="shared" si="96"/>
        <v>1.3099026072036935E-2</v>
      </c>
      <c r="AD150" s="40">
        <f t="shared" si="105"/>
        <v>1.3099026072036935E-2</v>
      </c>
      <c r="AE150" s="39">
        <f t="shared" si="113"/>
        <v>0.13527393533945198</v>
      </c>
      <c r="AF150" s="37">
        <f t="shared" si="106"/>
        <v>0.60992075074020313</v>
      </c>
      <c r="AG150" s="37">
        <f t="shared" si="97"/>
        <v>4.3524388695468687E-3</v>
      </c>
      <c r="AH150" s="37">
        <f t="shared" si="98"/>
        <v>5.340162500767396E-2</v>
      </c>
      <c r="AI150" s="40">
        <f t="shared" si="107"/>
        <v>5.7754063877220832E-2</v>
      </c>
      <c r="AJ150" s="39">
        <f t="shared" si="108"/>
        <v>8.1984203236031505E-4</v>
      </c>
      <c r="AK150" s="37">
        <f t="shared" si="99"/>
        <v>4.7482266047345158E-2</v>
      </c>
      <c r="AL150" s="37">
        <f t="shared" si="100"/>
        <v>7.6266666666666679E-3</v>
      </c>
      <c r="AM150" s="37">
        <f t="shared" si="101"/>
        <v>0.85400000000000009</v>
      </c>
      <c r="AN150" s="40">
        <f t="shared" si="109"/>
        <v>0.86162666666666676</v>
      </c>
      <c r="AO150" s="39">
        <f t="shared" si="102"/>
        <v>1.7484156142624174E-2</v>
      </c>
      <c r="AP150" s="37">
        <f t="shared" si="103"/>
        <v>2.1600000000000001E-2</v>
      </c>
      <c r="AQ150" s="40">
        <f t="shared" si="104"/>
        <v>2.2499999999999998E-3</v>
      </c>
      <c r="AR150" s="39">
        <f t="shared" si="110"/>
        <v>0.97381391275854867</v>
      </c>
      <c r="AS150" s="37">
        <f t="shared" si="111"/>
        <v>1.6206666666666669</v>
      </c>
      <c r="AT150" s="40">
        <f t="shared" si="112"/>
        <v>62.465939406866219</v>
      </c>
    </row>
    <row r="151" spans="17:46" x14ac:dyDescent="0.2">
      <c r="Q151">
        <v>144</v>
      </c>
      <c r="R151" s="39">
        <f t="shared" si="88"/>
        <v>170</v>
      </c>
      <c r="S151" s="37">
        <f t="shared" si="89"/>
        <v>9.6000000000000009E-3</v>
      </c>
      <c r="T151" s="37">
        <f t="shared" si="90"/>
        <v>5</v>
      </c>
      <c r="U151" s="40">
        <f t="shared" si="91"/>
        <v>0.38400000000000001</v>
      </c>
      <c r="V151" s="39">
        <f t="shared" si="92"/>
        <v>1</v>
      </c>
      <c r="W151" s="37">
        <f t="shared" si="93"/>
        <v>0.3559775273805918</v>
      </c>
      <c r="X151" s="40">
        <f t="shared" si="94"/>
        <v>2.1574395598823745E-3</v>
      </c>
      <c r="Y151" s="39">
        <f t="shared" si="95"/>
        <v>1.7798876369029593</v>
      </c>
      <c r="Z151" s="37">
        <f t="shared" si="114"/>
        <v>1.7798876369029593</v>
      </c>
      <c r="AA151" s="37">
        <f t="shared" si="115"/>
        <v>0.61497197097846723</v>
      </c>
      <c r="AB151" s="37">
        <v>0</v>
      </c>
      <c r="AC151" s="37">
        <f t="shared" si="96"/>
        <v>1.3236668378119928E-2</v>
      </c>
      <c r="AD151" s="40">
        <f t="shared" si="105"/>
        <v>1.3236668378119928E-2</v>
      </c>
      <c r="AE151" s="39">
        <f t="shared" si="113"/>
        <v>0.13669537051414726</v>
      </c>
      <c r="AF151" s="37">
        <f t="shared" si="106"/>
        <v>0.61311684768395081</v>
      </c>
      <c r="AG151" s="37">
        <f t="shared" si="97"/>
        <v>4.3981735462926882E-3</v>
      </c>
      <c r="AH151" s="37">
        <f t="shared" si="98"/>
        <v>5.377506294479055E-2</v>
      </c>
      <c r="AI151" s="40">
        <f t="shared" si="107"/>
        <v>5.817323649108324E-2</v>
      </c>
      <c r="AJ151" s="39">
        <f t="shared" si="108"/>
        <v>8.2845679099483179E-4</v>
      </c>
      <c r="AK151" s="37">
        <f t="shared" si="99"/>
        <v>4.7731081856959706E-2</v>
      </c>
      <c r="AL151" s="37">
        <f t="shared" si="100"/>
        <v>7.6800000000000011E-3</v>
      </c>
      <c r="AM151" s="37">
        <f t="shared" si="101"/>
        <v>0.85400000000000009</v>
      </c>
      <c r="AN151" s="40">
        <f t="shared" si="109"/>
        <v>0.86168000000000011</v>
      </c>
      <c r="AO151" s="39">
        <f t="shared" si="102"/>
        <v>1.7667876638953531E-2</v>
      </c>
      <c r="AP151" s="37">
        <f t="shared" si="103"/>
        <v>2.1600000000000001E-2</v>
      </c>
      <c r="AQ151" s="40">
        <f t="shared" si="104"/>
        <v>2.2499999999999998E-3</v>
      </c>
      <c r="AR151" s="39">
        <f t="shared" si="110"/>
        <v>0.97460778150815663</v>
      </c>
      <c r="AS151" s="37">
        <f t="shared" si="111"/>
        <v>1.6320000000000001</v>
      </c>
      <c r="AT151" s="40">
        <f t="shared" si="112"/>
        <v>62.610110027974422</v>
      </c>
    </row>
    <row r="152" spans="17:46" x14ac:dyDescent="0.2">
      <c r="Q152">
        <v>145</v>
      </c>
      <c r="R152" s="39">
        <f t="shared" si="88"/>
        <v>170</v>
      </c>
      <c r="S152" s="37">
        <f t="shared" si="89"/>
        <v>9.6666666666666672E-3</v>
      </c>
      <c r="T152" s="37">
        <f t="shared" si="90"/>
        <v>5</v>
      </c>
      <c r="U152" s="40">
        <f t="shared" si="91"/>
        <v>0.38666666666666666</v>
      </c>
      <c r="V152" s="39">
        <f t="shared" si="92"/>
        <v>1</v>
      </c>
      <c r="W152" s="37">
        <f t="shared" si="93"/>
        <v>0.35721142198983502</v>
      </c>
      <c r="X152" s="40">
        <f t="shared" si="94"/>
        <v>2.1649177090293033E-3</v>
      </c>
      <c r="Y152" s="39">
        <f t="shared" si="95"/>
        <v>1.7860571099491753</v>
      </c>
      <c r="Z152" s="37">
        <f t="shared" si="114"/>
        <v>1.7860571099491753</v>
      </c>
      <c r="AA152" s="37">
        <f t="shared" si="115"/>
        <v>0.61817217764400068</v>
      </c>
      <c r="AB152" s="37">
        <v>0</v>
      </c>
      <c r="AC152" s="37">
        <f t="shared" si="96"/>
        <v>1.3374789442459407E-2</v>
      </c>
      <c r="AD152" s="40">
        <f t="shared" si="105"/>
        <v>1.3374789442459407E-2</v>
      </c>
      <c r="AE152" s="39">
        <f t="shared" si="113"/>
        <v>0.13812174983606954</v>
      </c>
      <c r="AF152" s="37">
        <f t="shared" si="106"/>
        <v>0.61630740061205769</v>
      </c>
      <c r="AG152" s="37">
        <f t="shared" si="97"/>
        <v>4.4440673009755391E-3</v>
      </c>
      <c r="AH152" s="37">
        <f t="shared" si="98"/>
        <v>5.4148500881907147E-2</v>
      </c>
      <c r="AI152" s="40">
        <f t="shared" si="107"/>
        <v>5.8592568182882686E-2</v>
      </c>
      <c r="AJ152" s="39">
        <f t="shared" si="108"/>
        <v>8.3710151415799725E-4</v>
      </c>
      <c r="AK152" s="37">
        <f t="shared" si="99"/>
        <v>4.7979466065541966E-2</v>
      </c>
      <c r="AL152" s="37">
        <f t="shared" si="100"/>
        <v>7.7333333333333342E-3</v>
      </c>
      <c r="AM152" s="37">
        <f t="shared" si="101"/>
        <v>0.85400000000000009</v>
      </c>
      <c r="AN152" s="40">
        <f t="shared" si="109"/>
        <v>0.86173333333333346</v>
      </c>
      <c r="AO152" s="39">
        <f t="shared" si="102"/>
        <v>1.7852236166311992E-2</v>
      </c>
      <c r="AP152" s="37">
        <f t="shared" si="103"/>
        <v>2.1600000000000001E-2</v>
      </c>
      <c r="AQ152" s="40">
        <f t="shared" si="104"/>
        <v>2.2499999999999998E-3</v>
      </c>
      <c r="AR152" s="39">
        <f t="shared" si="110"/>
        <v>0.97540292712498755</v>
      </c>
      <c r="AS152" s="37">
        <f t="shared" si="111"/>
        <v>1.6433333333333333</v>
      </c>
      <c r="AT152" s="40">
        <f t="shared" si="112"/>
        <v>62.752914760714532</v>
      </c>
    </row>
    <row r="153" spans="17:46" x14ac:dyDescent="0.2">
      <c r="Q153">
        <v>146</v>
      </c>
      <c r="R153" s="39">
        <f t="shared" si="88"/>
        <v>170</v>
      </c>
      <c r="S153" s="37">
        <f t="shared" si="89"/>
        <v>9.7333333333333334E-3</v>
      </c>
      <c r="T153" s="37">
        <f t="shared" si="90"/>
        <v>5</v>
      </c>
      <c r="U153" s="40">
        <f t="shared" si="91"/>
        <v>0.38933333333333336</v>
      </c>
      <c r="V153" s="39">
        <f t="shared" si="92"/>
        <v>1</v>
      </c>
      <c r="W153" s="37">
        <f t="shared" si="93"/>
        <v>0.35844106907551765</v>
      </c>
      <c r="X153" s="40">
        <f t="shared" si="94"/>
        <v>2.1723701156091974E-3</v>
      </c>
      <c r="Y153" s="39">
        <f t="shared" si="95"/>
        <v>1.7922053453775886</v>
      </c>
      <c r="Z153" s="37">
        <f t="shared" si="114"/>
        <v>1.7922053453775886</v>
      </c>
      <c r="AA153" s="37">
        <f t="shared" si="115"/>
        <v>0.62136687141653013</v>
      </c>
      <c r="AB153" s="37">
        <v>0</v>
      </c>
      <c r="AC153" s="37">
        <f t="shared" si="96"/>
        <v>1.3513387611288835E-2</v>
      </c>
      <c r="AD153" s="40">
        <f t="shared" si="105"/>
        <v>1.3513387611288835E-2</v>
      </c>
      <c r="AE153" s="39">
        <f t="shared" si="113"/>
        <v>0.13955305622673489</v>
      </c>
      <c r="AF153" s="37">
        <f t="shared" si="106"/>
        <v>0.61949245727734337</v>
      </c>
      <c r="AG153" s="37">
        <f t="shared" si="97"/>
        <v>4.4901195840951966E-3</v>
      </c>
      <c r="AH153" s="37">
        <f t="shared" si="98"/>
        <v>5.4521938819023757E-2</v>
      </c>
      <c r="AI153" s="40">
        <f t="shared" si="107"/>
        <v>5.9012058403118954E-2</v>
      </c>
      <c r="AJ153" s="39">
        <f t="shared" si="108"/>
        <v>8.4577609834384762E-4</v>
      </c>
      <c r="AK153" s="37">
        <f t="shared" si="99"/>
        <v>4.8227422390643912E-2</v>
      </c>
      <c r="AL153" s="37">
        <f t="shared" si="100"/>
        <v>7.7866666666666674E-3</v>
      </c>
      <c r="AM153" s="37">
        <f t="shared" si="101"/>
        <v>0.85400000000000009</v>
      </c>
      <c r="AN153" s="40">
        <f t="shared" si="109"/>
        <v>0.86178666666666681</v>
      </c>
      <c r="AO153" s="39">
        <f t="shared" si="102"/>
        <v>1.803723251730549E-2</v>
      </c>
      <c r="AP153" s="37">
        <f t="shared" si="103"/>
        <v>2.1600000000000001E-2</v>
      </c>
      <c r="AQ153" s="40">
        <f t="shared" si="104"/>
        <v>2.2499999999999998E-3</v>
      </c>
      <c r="AR153" s="39">
        <f t="shared" si="110"/>
        <v>0.97619934519838003</v>
      </c>
      <c r="AS153" s="37">
        <f t="shared" si="111"/>
        <v>1.6546666666666667</v>
      </c>
      <c r="AT153" s="40">
        <f t="shared" si="112"/>
        <v>62.894372393129103</v>
      </c>
    </row>
    <row r="154" spans="17:46" x14ac:dyDescent="0.2">
      <c r="Q154">
        <v>147</v>
      </c>
      <c r="R154" s="39">
        <f t="shared" si="88"/>
        <v>170</v>
      </c>
      <c r="S154" s="37">
        <f t="shared" si="89"/>
        <v>9.7999999999999997E-3</v>
      </c>
      <c r="T154" s="37">
        <f t="shared" si="90"/>
        <v>5</v>
      </c>
      <c r="U154" s="40">
        <f t="shared" si="91"/>
        <v>0.39199999999999996</v>
      </c>
      <c r="V154" s="39">
        <f t="shared" si="92"/>
        <v>1</v>
      </c>
      <c r="W154" s="37">
        <f t="shared" si="93"/>
        <v>0.35966651220262363</v>
      </c>
      <c r="X154" s="40">
        <f t="shared" si="94"/>
        <v>2.1797970436522643E-3</v>
      </c>
      <c r="Y154" s="39">
        <f t="shared" si="95"/>
        <v>1.7983325610131184</v>
      </c>
      <c r="Z154" s="37">
        <f t="shared" si="114"/>
        <v>1.7983325610131184</v>
      </c>
      <c r="AA154" s="37">
        <f t="shared" si="115"/>
        <v>0.62455609945583401</v>
      </c>
      <c r="AB154" s="37">
        <v>0</v>
      </c>
      <c r="AC154" s="37">
        <f t="shared" si="96"/>
        <v>1.3652461247861999E-2</v>
      </c>
      <c r="AD154" s="40">
        <f t="shared" si="105"/>
        <v>1.3652461247861999E-2</v>
      </c>
      <c r="AE154" s="39">
        <f t="shared" si="113"/>
        <v>0.14098927278342846</v>
      </c>
      <c r="AF154" s="37">
        <f t="shared" si="106"/>
        <v>0.62267206469732406</v>
      </c>
      <c r="AG154" s="37">
        <f t="shared" si="97"/>
        <v>4.5363298518068139E-3</v>
      </c>
      <c r="AH154" s="37">
        <f t="shared" si="98"/>
        <v>5.4895376756140347E-2</v>
      </c>
      <c r="AI154" s="40">
        <f t="shared" si="107"/>
        <v>5.9431706607947159E-2</v>
      </c>
      <c r="AJ154" s="39">
        <f t="shared" si="108"/>
        <v>8.5448044111168756E-4</v>
      </c>
      <c r="AK154" s="37">
        <f t="shared" si="99"/>
        <v>4.8474954492574225E-2</v>
      </c>
      <c r="AL154" s="37">
        <f t="shared" si="100"/>
        <v>7.8399999999999997E-3</v>
      </c>
      <c r="AM154" s="37">
        <f t="shared" si="101"/>
        <v>0.85400000000000009</v>
      </c>
      <c r="AN154" s="40">
        <f t="shared" si="109"/>
        <v>0.86184000000000005</v>
      </c>
      <c r="AO154" s="39">
        <f t="shared" si="102"/>
        <v>1.8222863507258141E-2</v>
      </c>
      <c r="AP154" s="37">
        <f t="shared" si="103"/>
        <v>2.1600000000000001E-2</v>
      </c>
      <c r="AQ154" s="40">
        <f t="shared" si="104"/>
        <v>2.2499999999999998E-3</v>
      </c>
      <c r="AR154" s="39">
        <f t="shared" si="110"/>
        <v>0.97699703136306726</v>
      </c>
      <c r="AS154" s="37">
        <f t="shared" si="111"/>
        <v>1.6659999999999999</v>
      </c>
      <c r="AT154" s="40">
        <f t="shared" si="112"/>
        <v>63.034501372133491</v>
      </c>
    </row>
    <row r="155" spans="17:46" x14ac:dyDescent="0.2">
      <c r="Q155">
        <v>148</v>
      </c>
      <c r="R155" s="39">
        <f t="shared" si="88"/>
        <v>170</v>
      </c>
      <c r="S155" s="37">
        <f t="shared" si="89"/>
        <v>9.8666666666666677E-3</v>
      </c>
      <c r="T155" s="37">
        <f t="shared" si="90"/>
        <v>5</v>
      </c>
      <c r="U155" s="40">
        <f t="shared" si="91"/>
        <v>0.39466666666666672</v>
      </c>
      <c r="V155" s="39">
        <f t="shared" si="92"/>
        <v>1</v>
      </c>
      <c r="W155" s="37">
        <f t="shared" si="93"/>
        <v>0.36088779419647876</v>
      </c>
      <c r="X155" s="40">
        <f t="shared" si="94"/>
        <v>2.1871987527059314E-3</v>
      </c>
      <c r="Y155" s="39">
        <f t="shared" si="95"/>
        <v>1.804438970982394</v>
      </c>
      <c r="Z155" s="37">
        <f t="shared" si="114"/>
        <v>1.804438970982394</v>
      </c>
      <c r="AA155" s="37">
        <f t="shared" si="115"/>
        <v>0.62773990820045467</v>
      </c>
      <c r="AB155" s="37">
        <v>0</v>
      </c>
      <c r="AC155" s="37">
        <f t="shared" si="96"/>
        <v>1.3792008732163035E-2</v>
      </c>
      <c r="AD155" s="40">
        <f t="shared" si="105"/>
        <v>1.3792008732163035E-2</v>
      </c>
      <c r="AE155" s="39">
        <f t="shared" si="113"/>
        <v>0.14243038277621031</v>
      </c>
      <c r="AF155" s="37">
        <f t="shared" si="106"/>
        <v>0.6258462691704556</v>
      </c>
      <c r="AG155" s="37">
        <f t="shared" si="97"/>
        <v>4.582697565824567E-3</v>
      </c>
      <c r="AH155" s="37">
        <f t="shared" si="98"/>
        <v>5.5268814693256965E-2</v>
      </c>
      <c r="AI155" s="40">
        <f t="shared" si="107"/>
        <v>5.985151225908153E-2</v>
      </c>
      <c r="AJ155" s="39">
        <f t="shared" si="108"/>
        <v>8.6321444106794102E-4</v>
      </c>
      <c r="AK155" s="37">
        <f t="shared" si="99"/>
        <v>4.8722065975662796E-2</v>
      </c>
      <c r="AL155" s="37">
        <f t="shared" si="100"/>
        <v>7.8933333333333338E-3</v>
      </c>
      <c r="AM155" s="37">
        <f t="shared" si="101"/>
        <v>0.85400000000000009</v>
      </c>
      <c r="AN155" s="40">
        <f t="shared" si="109"/>
        <v>0.8618933333333334</v>
      </c>
      <c r="AO155" s="39">
        <f t="shared" si="102"/>
        <v>1.8409126973825185E-2</v>
      </c>
      <c r="AP155" s="37">
        <f t="shared" si="103"/>
        <v>2.1600000000000001E-2</v>
      </c>
      <c r="AQ155" s="40">
        <f t="shared" si="104"/>
        <v>2.2499999999999998E-3</v>
      </c>
      <c r="AR155" s="39">
        <f t="shared" si="110"/>
        <v>0.97779598129840295</v>
      </c>
      <c r="AS155" s="37">
        <f t="shared" si="111"/>
        <v>1.6773333333333336</v>
      </c>
      <c r="AT155" s="40">
        <f t="shared" si="112"/>
        <v>63.173319811203918</v>
      </c>
    </row>
    <row r="156" spans="17:46" x14ac:dyDescent="0.2">
      <c r="Q156">
        <v>149</v>
      </c>
      <c r="R156" s="39">
        <f t="shared" si="88"/>
        <v>170</v>
      </c>
      <c r="S156" s="37">
        <f t="shared" si="89"/>
        <v>9.9333333333333339E-3</v>
      </c>
      <c r="T156" s="37">
        <f t="shared" si="90"/>
        <v>5</v>
      </c>
      <c r="U156" s="40">
        <f t="shared" si="91"/>
        <v>0.39733333333333337</v>
      </c>
      <c r="V156" s="39">
        <f t="shared" si="92"/>
        <v>1</v>
      </c>
      <c r="W156" s="37">
        <f t="shared" si="93"/>
        <v>0.36210495716021346</v>
      </c>
      <c r="X156" s="40">
        <f t="shared" si="94"/>
        <v>2.1945754979406872E-3</v>
      </c>
      <c r="Y156" s="39">
        <f t="shared" si="95"/>
        <v>1.8105247858010676</v>
      </c>
      <c r="Z156" s="37">
        <f t="shared" si="114"/>
        <v>1.8105247858010676</v>
      </c>
      <c r="AA156" s="37">
        <f t="shared" si="115"/>
        <v>0.63091834338352371</v>
      </c>
      <c r="AB156" s="37">
        <v>0</v>
      </c>
      <c r="AC156" s="37">
        <f t="shared" si="96"/>
        <v>1.3932028460623348E-2</v>
      </c>
      <c r="AD156" s="40">
        <f t="shared" si="105"/>
        <v>1.3932028460623348E-2</v>
      </c>
      <c r="AE156" s="39">
        <f t="shared" si="113"/>
        <v>0.14387636964499151</v>
      </c>
      <c r="AF156" s="37">
        <f t="shared" si="106"/>
        <v>0.62901511629191131</v>
      </c>
      <c r="AG156" s="37">
        <f t="shared" si="97"/>
        <v>4.6292221933276027E-3</v>
      </c>
      <c r="AH156" s="37">
        <f t="shared" si="98"/>
        <v>5.5642252630373555E-2</v>
      </c>
      <c r="AI156" s="40">
        <f t="shared" si="107"/>
        <v>6.0271474823701154E-2</v>
      </c>
      <c r="AJ156" s="39">
        <f t="shared" si="108"/>
        <v>8.7197799784843313E-4</v>
      </c>
      <c r="AK156" s="37">
        <f t="shared" si="99"/>
        <v>4.8968760389489052E-2</v>
      </c>
      <c r="AL156" s="37">
        <f t="shared" si="100"/>
        <v>7.9466666666666678E-3</v>
      </c>
      <c r="AM156" s="37">
        <f t="shared" si="101"/>
        <v>0.85400000000000009</v>
      </c>
      <c r="AN156" s="40">
        <f t="shared" si="109"/>
        <v>0.86194666666666675</v>
      </c>
      <c r="AO156" s="39">
        <f t="shared" si="102"/>
        <v>1.8596020776615155E-2</v>
      </c>
      <c r="AP156" s="37">
        <f t="shared" si="103"/>
        <v>2.1600000000000001E-2</v>
      </c>
      <c r="AQ156" s="40">
        <f t="shared" si="104"/>
        <v>2.2499999999999998E-3</v>
      </c>
      <c r="AR156" s="39">
        <f t="shared" si="110"/>
        <v>0.97859619072760629</v>
      </c>
      <c r="AS156" s="37">
        <f t="shared" si="111"/>
        <v>1.6886666666666668</v>
      </c>
      <c r="AT156" s="40">
        <f t="shared" si="112"/>
        <v>63.310845497858978</v>
      </c>
    </row>
    <row r="157" spans="17:46" ht="16" thickBot="1" x14ac:dyDescent="0.25">
      <c r="Q157">
        <v>150</v>
      </c>
      <c r="R157" s="41">
        <f t="shared" si="88"/>
        <v>170</v>
      </c>
      <c r="S157" s="42">
        <f t="shared" si="89"/>
        <v>0.01</v>
      </c>
      <c r="T157" s="42">
        <f t="shared" si="90"/>
        <v>5</v>
      </c>
      <c r="U157" s="43">
        <f t="shared" si="91"/>
        <v>0.39999999999999997</v>
      </c>
      <c r="V157" s="41">
        <f t="shared" si="92"/>
        <v>1</v>
      </c>
      <c r="W157" s="42">
        <f t="shared" si="93"/>
        <v>0.36331804249169902</v>
      </c>
      <c r="X157" s="43">
        <f t="shared" si="94"/>
        <v>2.2019275302527209E-3</v>
      </c>
      <c r="Y157" s="41">
        <f t="shared" si="95"/>
        <v>1.8165902124584954</v>
      </c>
      <c r="Z157" s="42">
        <f t="shared" si="114"/>
        <v>1.8165902124584954</v>
      </c>
      <c r="AA157" s="42">
        <f t="shared" si="115"/>
        <v>0.6340914500481355</v>
      </c>
      <c r="AB157" s="42">
        <v>0</v>
      </c>
      <c r="AC157" s="42">
        <f t="shared" si="96"/>
        <v>1.407251884584515E-2</v>
      </c>
      <c r="AD157" s="43">
        <f t="shared" si="105"/>
        <v>1.407251884584515E-2</v>
      </c>
      <c r="AE157" s="41">
        <f t="shared" si="113"/>
        <v>0.14532721699667961</v>
      </c>
      <c r="AF157" s="37">
        <f t="shared" si="106"/>
        <v>0.63217865096890846</v>
      </c>
      <c r="AG157" s="42">
        <f t="shared" si="97"/>
        <v>4.6759032068681679E-3</v>
      </c>
      <c r="AH157" s="42">
        <f t="shared" si="98"/>
        <v>5.6015690567490159E-2</v>
      </c>
      <c r="AI157" s="43">
        <f t="shared" si="107"/>
        <v>6.0691593774358329E-2</v>
      </c>
      <c r="AJ157" s="41">
        <f>X157*U157</f>
        <v>8.8077101210108828E-4</v>
      </c>
      <c r="AK157" s="42">
        <f t="shared" si="99"/>
        <v>4.921504123007512E-2</v>
      </c>
      <c r="AL157" s="42">
        <f t="shared" si="100"/>
        <v>8.0000000000000002E-3</v>
      </c>
      <c r="AM157" s="42">
        <f t="shared" si="101"/>
        <v>0.85400000000000009</v>
      </c>
      <c r="AN157" s="43">
        <f t="shared" si="109"/>
        <v>0.8620000000000001</v>
      </c>
      <c r="AO157" s="41">
        <f t="shared" si="102"/>
        <v>1.8783542796820842E-2</v>
      </c>
      <c r="AP157" s="42">
        <f t="shared" si="103"/>
        <v>2.1600000000000001E-2</v>
      </c>
      <c r="AQ157" s="43">
        <f t="shared" si="104"/>
        <v>2.2499999999999998E-3</v>
      </c>
      <c r="AR157" s="41">
        <f t="shared" si="110"/>
        <v>0.97939765541702428</v>
      </c>
      <c r="AS157" s="42">
        <f t="shared" si="111"/>
        <v>1.7</v>
      </c>
      <c r="AT157" s="43">
        <f>(AS157/(AS157+AR157))*100</f>
        <v>63.447095900940845</v>
      </c>
    </row>
  </sheetData>
  <mergeCells count="7">
    <mergeCell ref="AO5:AQ5"/>
    <mergeCell ref="A1:M1"/>
    <mergeCell ref="R5:U5"/>
    <mergeCell ref="V5:X5"/>
    <mergeCell ref="Y5:AD5"/>
    <mergeCell ref="AE5:AI5"/>
    <mergeCell ref="AJ5:AN5"/>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Y708"/>
  <sheetViews>
    <sheetView topLeftCell="R1" zoomScale="80" zoomScaleNormal="80" workbookViewId="0">
      <selection activeCell="AY19" sqref="AY19:AY559"/>
    </sheetView>
  </sheetViews>
  <sheetFormatPr baseColWidth="10" defaultColWidth="9.1640625" defaultRowHeight="15" x14ac:dyDescent="0.2"/>
  <cols>
    <col min="1" max="1" width="13.1640625" style="98" customWidth="1"/>
    <col min="2" max="2" width="25" style="98" customWidth="1"/>
    <col min="3" max="7" width="9.1640625" style="98"/>
    <col min="8" max="10" width="8.83203125" style="98"/>
    <col min="11" max="11" width="12" style="98" bestFit="1" customWidth="1"/>
    <col min="12" max="14" width="9.1640625" style="98"/>
    <col min="15" max="15" width="16.6640625" style="199" bestFit="1" customWidth="1"/>
    <col min="16" max="16" width="16.6640625" style="98" customWidth="1"/>
    <col min="17" max="25" width="9.1640625" style="98"/>
    <col min="26" max="26" width="8.5" style="98" customWidth="1"/>
    <col min="27" max="28" width="9.1640625" style="98"/>
    <col min="29" max="29" width="8.83203125" style="98"/>
    <col min="30" max="32" width="9.1640625" style="98"/>
    <col min="33" max="33" width="10.1640625" style="98" customWidth="1"/>
    <col min="34" max="34" width="12" style="98" bestFit="1" customWidth="1"/>
    <col min="35" max="41" width="9.1640625" style="98"/>
    <col min="42" max="42" width="8.83203125" style="98"/>
    <col min="43" max="44" width="9.1640625" style="98"/>
    <col min="45" max="45" width="8.83203125" style="98" customWidth="1"/>
    <col min="46" max="47" width="9.1640625" style="98"/>
    <col min="48" max="48" width="11.83203125" style="98" bestFit="1" customWidth="1"/>
    <col min="49" max="16384" width="9.1640625" style="98"/>
  </cols>
  <sheetData>
    <row r="1" spans="1:51" ht="28" x14ac:dyDescent="0.3">
      <c r="A1" s="245" t="s">
        <v>15</v>
      </c>
      <c r="B1" s="245"/>
      <c r="C1" s="245"/>
      <c r="D1" s="245"/>
      <c r="E1" s="245"/>
      <c r="F1" s="245"/>
      <c r="G1" s="245"/>
      <c r="H1" s="245"/>
      <c r="I1" s="245"/>
      <c r="J1" s="245"/>
      <c r="K1" s="245"/>
      <c r="L1" s="245"/>
      <c r="M1" s="245"/>
      <c r="N1" s="245" t="s">
        <v>229</v>
      </c>
      <c r="O1" s="245"/>
      <c r="P1" s="245"/>
      <c r="Q1" s="245"/>
      <c r="R1" s="245"/>
      <c r="S1" s="245"/>
      <c r="T1" s="245"/>
      <c r="U1" s="245"/>
      <c r="V1" s="245"/>
      <c r="W1" s="245"/>
      <c r="X1" s="245"/>
    </row>
    <row r="2" spans="1:51" x14ac:dyDescent="0.2">
      <c r="A2" s="158"/>
      <c r="B2" s="158" t="s">
        <v>16</v>
      </c>
      <c r="C2" s="159"/>
      <c r="D2" s="160"/>
      <c r="E2" s="158"/>
      <c r="F2" s="158"/>
      <c r="G2" s="158"/>
      <c r="H2" s="158"/>
      <c r="I2" s="158"/>
      <c r="J2" s="158"/>
      <c r="K2" s="158"/>
      <c r="L2" s="158"/>
      <c r="M2" s="158"/>
      <c r="O2" s="98"/>
    </row>
    <row r="3" spans="1:51" ht="16" thickBot="1" x14ac:dyDescent="0.25">
      <c r="A3" s="158"/>
      <c r="B3" s="158" t="s">
        <v>17</v>
      </c>
      <c r="C3" s="161"/>
      <c r="D3" s="160"/>
      <c r="E3" s="158"/>
      <c r="F3" s="162"/>
      <c r="G3" s="163"/>
      <c r="H3" s="163"/>
      <c r="I3" s="163"/>
      <c r="J3" s="163"/>
      <c r="K3" s="164"/>
      <c r="L3" s="158"/>
      <c r="M3" s="158"/>
      <c r="O3" s="98"/>
    </row>
    <row r="4" spans="1:51" ht="16" thickBot="1" x14ac:dyDescent="0.25">
      <c r="A4" s="158"/>
      <c r="B4" s="158" t="s">
        <v>18</v>
      </c>
      <c r="C4" s="165"/>
      <c r="D4" s="160"/>
      <c r="E4" s="158"/>
      <c r="F4" s="162"/>
      <c r="G4" s="163"/>
      <c r="H4" s="163"/>
      <c r="I4" s="163"/>
      <c r="J4" s="163"/>
      <c r="K4" s="164"/>
      <c r="L4" s="158"/>
      <c r="M4" s="158"/>
      <c r="N4" s="166"/>
      <c r="O4" s="167"/>
      <c r="P4" s="242" t="s">
        <v>260</v>
      </c>
      <c r="Q4" s="242"/>
      <c r="R4" s="242"/>
      <c r="S4" s="242"/>
      <c r="T4" s="242"/>
      <c r="U4" s="242"/>
      <c r="V4" s="242"/>
      <c r="W4" s="242"/>
      <c r="X4" s="242"/>
      <c r="Y4" s="242"/>
      <c r="Z4" s="242"/>
      <c r="AA4" s="242"/>
      <c r="AB4" s="242"/>
      <c r="AC4" s="242"/>
      <c r="AD4" s="242"/>
      <c r="AE4" s="243"/>
      <c r="AF4" s="241" t="s">
        <v>261</v>
      </c>
      <c r="AG4" s="242"/>
      <c r="AH4" s="242"/>
      <c r="AI4" s="242"/>
      <c r="AJ4" s="242"/>
      <c r="AK4" s="242"/>
      <c r="AL4" s="242"/>
      <c r="AM4" s="242"/>
      <c r="AN4" s="242"/>
      <c r="AO4" s="242"/>
      <c r="AP4" s="242"/>
      <c r="AQ4" s="242"/>
      <c r="AR4" s="243"/>
      <c r="AS4" s="241" t="s">
        <v>272</v>
      </c>
      <c r="AT4" s="242"/>
      <c r="AU4" s="243"/>
    </row>
    <row r="5" spans="1:51" x14ac:dyDescent="0.2">
      <c r="A5" s="158"/>
      <c r="D5" s="160"/>
      <c r="E5" s="158"/>
      <c r="F5" s="158"/>
      <c r="G5" s="158"/>
      <c r="H5" s="158"/>
      <c r="I5" s="158"/>
      <c r="J5" s="158"/>
      <c r="K5" s="158"/>
      <c r="L5" s="158"/>
      <c r="M5" s="158"/>
      <c r="N5" s="168"/>
      <c r="O5" s="169"/>
      <c r="Q5" s="244" t="s">
        <v>252</v>
      </c>
      <c r="R5" s="244"/>
      <c r="S5" s="244"/>
      <c r="T5" s="239" t="s">
        <v>254</v>
      </c>
      <c r="U5" s="239"/>
      <c r="V5" s="239"/>
      <c r="W5" s="239" t="s">
        <v>253</v>
      </c>
      <c r="X5" s="239"/>
      <c r="Y5" s="239"/>
      <c r="Z5" s="239" t="s">
        <v>257</v>
      </c>
      <c r="AA5" s="239"/>
      <c r="AB5" s="239"/>
      <c r="AC5" s="238" t="s">
        <v>259</v>
      </c>
      <c r="AD5" s="239"/>
      <c r="AE5" s="240"/>
      <c r="AG5" s="239" t="s">
        <v>268</v>
      </c>
      <c r="AH5" s="239"/>
      <c r="AI5" s="239"/>
      <c r="AJ5" s="239" t="s">
        <v>269</v>
      </c>
      <c r="AK5" s="239"/>
      <c r="AL5" s="239"/>
      <c r="AM5" s="239" t="s">
        <v>263</v>
      </c>
      <c r="AN5" s="239"/>
      <c r="AO5" s="239"/>
      <c r="AP5" s="238" t="s">
        <v>259</v>
      </c>
      <c r="AQ5" s="239"/>
      <c r="AR5" s="240"/>
      <c r="AS5" s="238" t="s">
        <v>259</v>
      </c>
      <c r="AT5" s="239"/>
      <c r="AU5" s="240"/>
      <c r="AV5" s="223"/>
    </row>
    <row r="6" spans="1:51" ht="16" thickBot="1" x14ac:dyDescent="0.25">
      <c r="A6" s="170" t="s">
        <v>19</v>
      </c>
      <c r="B6" s="170" t="s">
        <v>20</v>
      </c>
      <c r="C6" s="170" t="s">
        <v>21</v>
      </c>
      <c r="D6" s="160"/>
      <c r="E6" s="246" t="s">
        <v>22</v>
      </c>
      <c r="F6" s="246"/>
      <c r="G6" s="246"/>
      <c r="H6" s="246"/>
      <c r="I6" s="246"/>
      <c r="J6" s="246"/>
      <c r="K6" s="246"/>
      <c r="L6" s="158"/>
      <c r="M6" s="170"/>
      <c r="N6" s="168"/>
      <c r="O6" s="169"/>
      <c r="P6" s="160" t="s">
        <v>235</v>
      </c>
      <c r="Q6" s="98" t="s">
        <v>258</v>
      </c>
      <c r="R6" s="160" t="s">
        <v>255</v>
      </c>
      <c r="S6" s="160" t="s">
        <v>256</v>
      </c>
      <c r="T6" s="160" t="s">
        <v>258</v>
      </c>
      <c r="U6" s="160" t="s">
        <v>255</v>
      </c>
      <c r="V6" s="160" t="s">
        <v>256</v>
      </c>
      <c r="W6" s="160" t="s">
        <v>258</v>
      </c>
      <c r="X6" s="160" t="s">
        <v>255</v>
      </c>
      <c r="Y6" s="160" t="s">
        <v>256</v>
      </c>
      <c r="Z6" s="160" t="s">
        <v>258</v>
      </c>
      <c r="AA6" s="160" t="s">
        <v>255</v>
      </c>
      <c r="AB6" s="160" t="s">
        <v>256</v>
      </c>
      <c r="AC6" s="171" t="s">
        <v>273</v>
      </c>
      <c r="AD6" s="160" t="s">
        <v>255</v>
      </c>
      <c r="AE6" s="172" t="s">
        <v>256</v>
      </c>
      <c r="AF6" s="160" t="s">
        <v>270</v>
      </c>
      <c r="AG6" s="160" t="s">
        <v>258</v>
      </c>
      <c r="AH6" s="160" t="s">
        <v>271</v>
      </c>
      <c r="AI6" s="160" t="s">
        <v>256</v>
      </c>
      <c r="AJ6" s="160" t="s">
        <v>258</v>
      </c>
      <c r="AK6" s="160" t="s">
        <v>271</v>
      </c>
      <c r="AL6" s="160" t="s">
        <v>256</v>
      </c>
      <c r="AM6" s="160" t="s">
        <v>258</v>
      </c>
      <c r="AN6" s="160" t="s">
        <v>271</v>
      </c>
      <c r="AO6" s="160" t="s">
        <v>256</v>
      </c>
      <c r="AP6" s="171" t="s">
        <v>273</v>
      </c>
      <c r="AQ6" s="160" t="s">
        <v>255</v>
      </c>
      <c r="AR6" s="172" t="s">
        <v>256</v>
      </c>
      <c r="AS6" s="171" t="s">
        <v>273</v>
      </c>
      <c r="AT6" s="160" t="s">
        <v>255</v>
      </c>
      <c r="AU6" s="172" t="s">
        <v>256</v>
      </c>
      <c r="AV6" s="224"/>
    </row>
    <row r="7" spans="1:51" ht="16" thickBot="1" x14ac:dyDescent="0.25">
      <c r="A7" s="170"/>
      <c r="B7" s="170"/>
      <c r="C7" s="170"/>
      <c r="D7" s="160"/>
      <c r="E7" s="158"/>
      <c r="F7" s="158"/>
      <c r="G7" s="158"/>
      <c r="H7" s="158"/>
      <c r="I7" s="158"/>
      <c r="J7" s="158"/>
      <c r="K7" s="158"/>
      <c r="L7" s="158"/>
      <c r="M7" s="170"/>
      <c r="N7" s="98" t="s">
        <v>469</v>
      </c>
      <c r="O7" s="167">
        <f>fcross</f>
        <v>1000</v>
      </c>
      <c r="P7" s="173" t="str">
        <f>COMPLEX(ADC_VINmin,0)</f>
        <v>740.425531914893</v>
      </c>
      <c r="Q7" s="174" t="str">
        <f>IMSUM(COMPLEX(1,0),IMDIV(COMPLEX(0,2*PI()*O7),COMPLEX(wp_lf_VINmin,0)))</f>
        <v>1+6408.84901332318i</v>
      </c>
      <c r="R7" s="174">
        <f t="shared" ref="R7:R13" si="0">IMABS(Q7)</f>
        <v>6408.8490913403084</v>
      </c>
      <c r="S7" s="174">
        <f t="shared" ref="S7:S13" si="1">IMARGUMENT(Q7)</f>
        <v>1.5706402925382297</v>
      </c>
      <c r="T7" s="174" t="str">
        <f>IMSUM(COMPLEX(1,0),IMDIV(COMPLEX(0,2*PI()*O7),COMPLEX(wz_esr_VINmin,0)))</f>
        <v>1+0.0015079644737231i</v>
      </c>
      <c r="U7" s="174">
        <f t="shared" ref="U7:U13" si="2">IMABS(T7)</f>
        <v>1.0000011369777806</v>
      </c>
      <c r="V7" s="174">
        <f t="shared" ref="V7:V13" si="3">IMARGUMENT(T7)</f>
        <v>1.5079633307092759E-3</v>
      </c>
      <c r="W7" s="175" t="str">
        <f>IMSUB(COMPLEX(1,0),IMDIV(COMPLEX(0,2*PI()*O7),COMPLEX(wz_RHP_VINmin,0)))</f>
        <v>1-0.00463603082560994i</v>
      </c>
      <c r="X7" s="174">
        <f t="shared" ref="X7:X13" si="4">IMABS(W7)</f>
        <v>1.0000107463331662</v>
      </c>
      <c r="Y7" s="174">
        <f t="shared" ref="Y7:Y13" si="5">IMARGUMENT(W7)</f>
        <v>-4.635997612305238E-3</v>
      </c>
      <c r="Z7" s="175" t="str">
        <f t="shared" ref="Z7:Z13" si="6">IF(Dc_Mode_Loop="CCM",IMSUM(COMPLEX(1,0),IMDIV(COMPLEX(0,2*PI()*O7),COMPLEX(Q*(wsl/2),0)),IMDIV(IMPOWER(COMPLEX(0,2*PI()*O7),2),IMPOWER(COMPLEX(wsl/2,0),2))),COMPLEX(1,0))</f>
        <v>0.9996-0.0292534570395009i</v>
      </c>
      <c r="AA7" s="174">
        <f t="shared" ref="AA7:AA13" si="7">IMABS(Z7)</f>
        <v>1.0000279619834449</v>
      </c>
      <c r="AB7" s="174">
        <f t="shared" ref="AB7:AB13" si="8">IMARGUMENT(Z7)</f>
        <v>-2.9256812681268823E-2</v>
      </c>
      <c r="AC7" s="176" t="str">
        <f t="shared" ref="AC7:AC13" si="9">(IMDIV(IMPRODUCT(P7,T7,W7),IMPRODUCT(Q7,Z7)))</f>
        <v>0.00303633184367869-0.115489982472499i</v>
      </c>
      <c r="AD7" s="177">
        <f t="shared" ref="AD7:AD13" si="10">20*LOG(IMABS(AC7))</f>
        <v>-18.746112842606117</v>
      </c>
      <c r="AE7" s="167">
        <f t="shared" ref="AE7:AE13" si="11">(180/PI())*IMARGUMENT(AC7)</f>
        <v>-88.493991169499694</v>
      </c>
      <c r="AF7" s="175" t="str">
        <f t="shared" ref="AF7:AF13" si="12">COMPLEX(Adc_ea,0)</f>
        <v>-0.0000119284294234592</v>
      </c>
      <c r="AG7" s="175" t="str">
        <f t="shared" ref="AG7:AG13" si="13">COMPLEX(0,2*PI()*O7*wp0_ea)</f>
        <v>0.0000351996607278815i</v>
      </c>
      <c r="AH7" s="175">
        <f t="shared" ref="AH7:AH13" si="14">IMABS(AG7)</f>
        <v>3.5199660727881499E-5</v>
      </c>
      <c r="AI7" s="175">
        <f t="shared" ref="AI7:AI13" si="15">IMARGUMENT(AG7)</f>
        <v>1.5707963267948966</v>
      </c>
      <c r="AJ7" s="175" t="str">
        <f t="shared" ref="AJ7:AJ13" si="16">IMSUM(COMPLEX(1,0),IMDIV(COMPLEX(0,2*PI()*O7),COMPLEX(wp1_ea,0)))</f>
        <v>1+0.0303986745503187i</v>
      </c>
      <c r="AK7" s="175">
        <f t="shared" ref="AK7:AK13" si="17">IMABS(AJ7)</f>
        <v>1.0004619330161524</v>
      </c>
      <c r="AL7" s="175">
        <f t="shared" ref="AL7:AL13" si="18">IMARGUMENT(AJ7)</f>
        <v>3.0389316142059274E-2</v>
      </c>
      <c r="AM7" s="175" t="str">
        <f t="shared" ref="AM7:AM13" si="19">IMSUM(COMPLEX(1,0),IMDIV(COMPLEX(0,2*PI()*O7),COMPLEX(wz_ea,0)))</f>
        <v>1+77.4088429844525i</v>
      </c>
      <c r="AN7" s="175">
        <f t="shared" ref="AN7:AN13" si="20">IMABS(AM7)</f>
        <v>77.415301925340458</v>
      </c>
      <c r="AO7" s="175">
        <f t="shared" ref="AO7:AO13" si="21">IMARGUMENT(AM7)</f>
        <v>1.5578786246502054</v>
      </c>
      <c r="AP7" s="166" t="str">
        <f t="shared" ref="AP7:AP13" si="22">IMPRODUCT(AF7,IMDIV(AM7,IMPRODUCT(AG7,AJ7)))</f>
        <v>-26.1977289514971+1.13525533850431i</v>
      </c>
      <c r="AQ7" s="175">
        <f t="shared" ref="AQ7:AQ13" si="23">20*LOG(IMABS(AP7))</f>
        <v>28.373420620988675</v>
      </c>
      <c r="AR7" s="167">
        <f t="shared" ref="AR7:AR13" si="24">(180/PI())*IMARGUMENT(AP7)</f>
        <v>177.51869062887332</v>
      </c>
      <c r="AS7" s="166" t="str">
        <f t="shared" ref="AS7:AS13" si="25">IMPRODUCT(AC7,AP7)</f>
        <v>0.0515656204981799+3.02902226936269i</v>
      </c>
      <c r="AT7" s="177">
        <f t="shared" ref="AT7:AT13" si="26">20*LOG(IMABS(AS7))</f>
        <v>9.6273077783825691</v>
      </c>
      <c r="AU7" s="167">
        <f t="shared" ref="AU7:AU13" si="27">(180/PI())*IMARGUMENT(AS7)</f>
        <v>89.024699459373636</v>
      </c>
      <c r="AV7" s="225"/>
    </row>
    <row r="8" spans="1:51" ht="16" thickBot="1" x14ac:dyDescent="0.25">
      <c r="A8" s="170"/>
      <c r="B8" s="170"/>
      <c r="C8" s="170"/>
      <c r="D8" s="160"/>
      <c r="E8" s="158"/>
      <c r="F8" s="158"/>
      <c r="G8" s="158"/>
      <c r="H8" s="158"/>
      <c r="I8" s="158"/>
      <c r="J8" s="158"/>
      <c r="K8" s="158"/>
      <c r="L8" s="158"/>
      <c r="M8" s="170"/>
      <c r="N8" s="166" t="s">
        <v>302</v>
      </c>
      <c r="O8" s="167">
        <f>fcross</f>
        <v>1000</v>
      </c>
      <c r="P8" s="173" t="str">
        <f t="shared" ref="P8:P13" si="28">COMPLEX(Adc,0)</f>
        <v>771.276595744681</v>
      </c>
      <c r="Q8" s="174" t="str">
        <f t="shared" ref="Q8:Q13" si="29">IMSUM(COMPLEX(1,0),IMDIV(COMPLEX(0,2*PI()*O8),COMPLEX(wp_lf,0)))</f>
        <v>1+6408.84901332318i</v>
      </c>
      <c r="R8" s="174">
        <f t="shared" si="0"/>
        <v>6408.8490913403084</v>
      </c>
      <c r="S8" s="174">
        <f t="shared" si="1"/>
        <v>1.5706402925382297</v>
      </c>
      <c r="T8" s="174" t="str">
        <f t="shared" ref="T8:T13" si="30">IMSUM(COMPLEX(1,0),IMDIV(COMPLEX(0,2*PI()*O8),COMPLEX(wz_esr,0)))</f>
        <v>1+0.0015079644737231i</v>
      </c>
      <c r="U8" s="174">
        <f t="shared" si="2"/>
        <v>1.0000011369777806</v>
      </c>
      <c r="V8" s="174">
        <f t="shared" si="3"/>
        <v>1.5079633307092759E-3</v>
      </c>
      <c r="W8" s="175" t="str">
        <f t="shared" ref="W8:W13" si="31">IMSUB(COMPLEX(1,0),IMDIV(COMPLEX(0,2*PI()*O8),COMPLEX(wz_rhp,0)))</f>
        <v>1-0.00427256600888211i</v>
      </c>
      <c r="X8" s="174">
        <f t="shared" si="4"/>
        <v>1.0000091273684957</v>
      </c>
      <c r="Y8" s="174">
        <f t="shared" si="5"/>
        <v>-4.2725400108586248E-3</v>
      </c>
      <c r="Z8" s="175" t="str">
        <f t="shared" si="6"/>
        <v>0.9996-0.0292534570395009i</v>
      </c>
      <c r="AA8" s="174">
        <f t="shared" si="7"/>
        <v>1.0000279619834449</v>
      </c>
      <c r="AB8" s="174">
        <f t="shared" si="8"/>
        <v>-2.9256812681268823E-2</v>
      </c>
      <c r="AC8" s="176" t="str">
        <f t="shared" si="9"/>
        <v>0.00320656496938115-0.12030071280838i</v>
      </c>
      <c r="AD8" s="177">
        <f t="shared" si="10"/>
        <v>-18.391551565406246</v>
      </c>
      <c r="AE8" s="167">
        <f t="shared" si="11"/>
        <v>-88.473166582904838</v>
      </c>
      <c r="AF8" s="175" t="str">
        <f t="shared" si="12"/>
        <v>-0.0000119284294234592</v>
      </c>
      <c r="AG8" s="175" t="str">
        <f t="shared" si="13"/>
        <v>0.0000351996607278815i</v>
      </c>
      <c r="AH8" s="175">
        <f t="shared" si="14"/>
        <v>3.5199660727881499E-5</v>
      </c>
      <c r="AI8" s="175">
        <f t="shared" si="15"/>
        <v>1.5707963267948966</v>
      </c>
      <c r="AJ8" s="175" t="str">
        <f t="shared" si="16"/>
        <v>1+0.0303986745503187i</v>
      </c>
      <c r="AK8" s="175">
        <f t="shared" si="17"/>
        <v>1.0004619330161524</v>
      </c>
      <c r="AL8" s="175">
        <f t="shared" si="18"/>
        <v>3.0389316142059274E-2</v>
      </c>
      <c r="AM8" s="175" t="str">
        <f t="shared" si="19"/>
        <v>1+77.4088429844525i</v>
      </c>
      <c r="AN8" s="175">
        <f t="shared" si="20"/>
        <v>77.415301925340458</v>
      </c>
      <c r="AO8" s="175">
        <f t="shared" si="21"/>
        <v>1.5578786246502054</v>
      </c>
      <c r="AP8" s="166" t="str">
        <f t="shared" si="22"/>
        <v>-26.1977289514971+1.13525533850431i</v>
      </c>
      <c r="AQ8" s="175">
        <f t="shared" si="23"/>
        <v>28.373420620988675</v>
      </c>
      <c r="AR8" s="167">
        <f t="shared" si="24"/>
        <v>177.51869062887332</v>
      </c>
      <c r="AS8" s="166" t="str">
        <f t="shared" si="25"/>
        <v>0.0525673065083743+3.15524573682559i</v>
      </c>
      <c r="AT8" s="177">
        <f t="shared" si="26"/>
        <v>9.9818690555824432</v>
      </c>
      <c r="AU8" s="167">
        <f t="shared" si="27"/>
        <v>89.045524045968492</v>
      </c>
      <c r="AV8" s="225"/>
    </row>
    <row r="9" spans="1:51" x14ac:dyDescent="0.2">
      <c r="A9" s="178" t="s">
        <v>205</v>
      </c>
      <c r="B9" s="170"/>
      <c r="C9" s="170"/>
      <c r="D9" s="160"/>
      <c r="E9" s="158"/>
      <c r="F9" s="158"/>
      <c r="G9" s="158"/>
      <c r="H9" s="158"/>
      <c r="I9" s="158"/>
      <c r="J9" s="158"/>
      <c r="K9" s="158"/>
      <c r="L9" s="158"/>
      <c r="M9" s="170"/>
      <c r="N9" s="179" t="s">
        <v>303</v>
      </c>
      <c r="O9" s="180">
        <f>wz_rhp/(2*PI())</f>
        <v>234051.38689984611</v>
      </c>
      <c r="P9" s="181" t="str">
        <f t="shared" si="28"/>
        <v>771.276595744681</v>
      </c>
      <c r="Q9" s="182" t="str">
        <f t="shared" si="29"/>
        <v>1+1500000i</v>
      </c>
      <c r="R9" s="182">
        <f t="shared" si="0"/>
        <v>1500000.0000003334</v>
      </c>
      <c r="S9" s="182">
        <f t="shared" si="1"/>
        <v>1.57079566012823</v>
      </c>
      <c r="T9" s="182" t="str">
        <f t="shared" si="30"/>
        <v>1+0.352941176470589i</v>
      </c>
      <c r="U9" s="182">
        <f t="shared" si="2"/>
        <v>1.060456257489409</v>
      </c>
      <c r="V9" s="182">
        <f t="shared" si="3"/>
        <v>0.33929261445404535</v>
      </c>
      <c r="W9" s="183" t="str">
        <f t="shared" si="31"/>
        <v>1-i</v>
      </c>
      <c r="X9" s="182">
        <f t="shared" si="4"/>
        <v>1.4142135623730951</v>
      </c>
      <c r="Y9" s="182">
        <f t="shared" si="5"/>
        <v>-0.78539816339744828</v>
      </c>
      <c r="Z9" s="183" t="str">
        <f t="shared" si="6"/>
        <v>-20.9120206838966-6.84681219171025i</v>
      </c>
      <c r="AA9" s="182">
        <f t="shared" si="7"/>
        <v>22.004350621462827</v>
      </c>
      <c r="AB9" s="182">
        <f t="shared" si="8"/>
        <v>-2.8251822145687453</v>
      </c>
      <c r="AC9" s="184" t="str">
        <f t="shared" si="9"/>
        <v>0.0000242066252558252+0.0000253406046270671i</v>
      </c>
      <c r="AD9" s="185">
        <f t="shared" si="10"/>
        <v>-89.107638112083521</v>
      </c>
      <c r="AE9" s="186">
        <f t="shared" si="11"/>
        <v>46.311090275575062</v>
      </c>
      <c r="AF9" s="183" t="str">
        <f t="shared" si="12"/>
        <v>-0.0000119284294234592</v>
      </c>
      <c r="AG9" s="183" t="str">
        <f t="shared" si="13"/>
        <v>0.00823852941176471i</v>
      </c>
      <c r="AH9" s="183">
        <f t="shared" si="14"/>
        <v>8.2385294117647105E-3</v>
      </c>
      <c r="AI9" s="183">
        <f t="shared" si="15"/>
        <v>1.5707963267948966</v>
      </c>
      <c r="AJ9" s="183" t="str">
        <f t="shared" si="16"/>
        <v>1+7.11485193841915i</v>
      </c>
      <c r="AK9" s="183">
        <f t="shared" si="17"/>
        <v>7.1847837897619957</v>
      </c>
      <c r="AL9" s="183">
        <f t="shared" si="18"/>
        <v>1.431159956883286</v>
      </c>
      <c r="AM9" s="183" t="str">
        <f t="shared" si="19"/>
        <v>1+18117.6470588235i</v>
      </c>
      <c r="AN9" s="183">
        <f t="shared" si="20"/>
        <v>18117.647086420897</v>
      </c>
      <c r="AO9" s="183">
        <f t="shared" si="21"/>
        <v>1.570741131989758</v>
      </c>
      <c r="AP9" s="179" t="str">
        <f t="shared" si="22"/>
        <v>-0.507969193535686+3.61557348461755i</v>
      </c>
      <c r="AQ9" s="183">
        <f t="shared" si="23"/>
        <v>11.248433221916532</v>
      </c>
      <c r="AR9" s="186">
        <f t="shared" si="24"/>
        <v>97.997412233077355</v>
      </c>
      <c r="AS9" s="179" t="str">
        <f t="shared" si="25"/>
        <v>-0.000103917038083223+0.0000746485859309172i</v>
      </c>
      <c r="AT9" s="185">
        <f t="shared" si="26"/>
        <v>-77.859204890166978</v>
      </c>
      <c r="AU9" s="186">
        <f t="shared" si="27"/>
        <v>144.30850250865248</v>
      </c>
      <c r="AV9" s="225"/>
    </row>
    <row r="10" spans="1:51" x14ac:dyDescent="0.2">
      <c r="A10" s="98" t="s">
        <v>25</v>
      </c>
      <c r="B10" s="187">
        <f>VIN_min</f>
        <v>4.8</v>
      </c>
      <c r="C10" s="98" t="s">
        <v>10</v>
      </c>
      <c r="E10" s="98" t="s">
        <v>28</v>
      </c>
      <c r="N10" s="168" t="s">
        <v>254</v>
      </c>
      <c r="O10" s="188">
        <f>wz_esr/(2*PI())</f>
        <v>663145.59621623065</v>
      </c>
      <c r="P10" s="189" t="str">
        <f t="shared" si="28"/>
        <v>771.276595744681</v>
      </c>
      <c r="Q10" s="160" t="str">
        <f t="shared" si="29"/>
        <v>1+4250000i</v>
      </c>
      <c r="R10" s="160">
        <f t="shared" si="0"/>
        <v>4250000.0000001173</v>
      </c>
      <c r="S10" s="160">
        <f t="shared" si="1"/>
        <v>1.570796091500779</v>
      </c>
      <c r="T10" s="160" t="str">
        <f t="shared" si="30"/>
        <v>1+i</v>
      </c>
      <c r="U10" s="160">
        <f t="shared" si="2"/>
        <v>1.4142135623730951</v>
      </c>
      <c r="V10" s="160">
        <f t="shared" si="3"/>
        <v>0.78539816339744828</v>
      </c>
      <c r="W10" s="98" t="str">
        <f t="shared" si="31"/>
        <v>1-2.83333333333333i</v>
      </c>
      <c r="X10" s="160">
        <f t="shared" si="4"/>
        <v>3.0046260628866546</v>
      </c>
      <c r="Y10" s="160">
        <f t="shared" si="5"/>
        <v>-1.2315037123408517</v>
      </c>
      <c r="Z10" s="98" t="str">
        <f t="shared" si="6"/>
        <v>-174.904832712392-19.3993012098457i</v>
      </c>
      <c r="AA10" s="160">
        <f t="shared" si="7"/>
        <v>175.97736614002426</v>
      </c>
      <c r="AB10" s="160">
        <f t="shared" si="8"/>
        <v>-3.0311306714899171</v>
      </c>
      <c r="AC10" s="171" t="str">
        <f t="shared" si="9"/>
        <v>2.31488621004061E-06+0.0000037206184446588i</v>
      </c>
      <c r="AD10" s="190">
        <f t="shared" si="10"/>
        <v>-107.16660324903896</v>
      </c>
      <c r="AE10" s="169">
        <f t="shared" si="11"/>
        <v>58.111042938563493</v>
      </c>
      <c r="AF10" s="98" t="str">
        <f t="shared" si="12"/>
        <v>-0.0000119284294234592</v>
      </c>
      <c r="AG10" s="98" t="str">
        <f t="shared" si="13"/>
        <v>0.0233425i</v>
      </c>
      <c r="AH10" s="98">
        <f t="shared" si="14"/>
        <v>2.3342499999999999E-2</v>
      </c>
      <c r="AI10" s="98">
        <f t="shared" si="15"/>
        <v>1.5707963267948966</v>
      </c>
      <c r="AJ10" s="98" t="str">
        <f t="shared" si="16"/>
        <v>1+20.1587471588542i</v>
      </c>
      <c r="AK10" s="98">
        <f t="shared" si="17"/>
        <v>20.18353504752357</v>
      </c>
      <c r="AL10" s="98">
        <f t="shared" si="18"/>
        <v>1.5212306994851745</v>
      </c>
      <c r="AM10" s="98" t="str">
        <f t="shared" si="19"/>
        <v>1+51333.3333333334i</v>
      </c>
      <c r="AN10" s="98">
        <f t="shared" si="20"/>
        <v>51333.33334307366</v>
      </c>
      <c r="AO10" s="98">
        <f t="shared" si="21"/>
        <v>1.5707768462754186</v>
      </c>
      <c r="AP10" s="168" t="str">
        <f t="shared" si="22"/>
        <v>-0.0643680445107463+1.29809015204893i</v>
      </c>
      <c r="AQ10" s="98">
        <f t="shared" si="23"/>
        <v>2.2767626185829468</v>
      </c>
      <c r="AR10" s="169">
        <f t="shared" si="24"/>
        <v>92.838785102216647</v>
      </c>
      <c r="AS10" s="168" t="str">
        <f t="shared" si="25"/>
        <v>-0.0000049787028611484+2.76544205871429E-06i</v>
      </c>
      <c r="AT10" s="190">
        <f t="shared" si="26"/>
        <v>-104.88984063045599</v>
      </c>
      <c r="AU10" s="169">
        <f t="shared" si="27"/>
        <v>150.94982804078009</v>
      </c>
      <c r="AV10" s="225"/>
    </row>
    <row r="11" spans="1:51" ht="16" thickBot="1" x14ac:dyDescent="0.25">
      <c r="A11" s="98" t="s">
        <v>26</v>
      </c>
      <c r="B11" s="187">
        <f>VIN_nom</f>
        <v>5</v>
      </c>
      <c r="C11" s="98" t="s">
        <v>10</v>
      </c>
      <c r="E11" s="98" t="s">
        <v>29</v>
      </c>
      <c r="N11" s="191" t="s">
        <v>252</v>
      </c>
      <c r="O11" s="192">
        <f>wp_lf/(2*PI())</f>
        <v>0.15603425793323072</v>
      </c>
      <c r="P11" s="193" t="str">
        <f t="shared" si="28"/>
        <v>771.276595744681</v>
      </c>
      <c r="Q11" s="194" t="str">
        <f t="shared" si="29"/>
        <v>1+i</v>
      </c>
      <c r="R11" s="194">
        <f t="shared" si="0"/>
        <v>1.4142135623730951</v>
      </c>
      <c r="S11" s="194">
        <f t="shared" si="1"/>
        <v>0.78539816339744828</v>
      </c>
      <c r="T11" s="194" t="str">
        <f t="shared" si="30"/>
        <v>1+2.35294117647059E-07i</v>
      </c>
      <c r="U11" s="194">
        <f t="shared" si="2"/>
        <v>1.0000000000000275</v>
      </c>
      <c r="V11" s="194">
        <f t="shared" si="3"/>
        <v>2.3529411764705465E-7</v>
      </c>
      <c r="W11" s="195" t="str">
        <f t="shared" si="31"/>
        <v>1-6.66666666666666E-07i</v>
      </c>
      <c r="X11" s="194">
        <f t="shared" si="4"/>
        <v>1.0000000000002223</v>
      </c>
      <c r="Y11" s="194">
        <f t="shared" si="5"/>
        <v>-6.6666666666656718E-7</v>
      </c>
      <c r="Z11" s="195" t="str">
        <f t="shared" si="6"/>
        <v>0.999999999990261-4.56454146114016E-06i</v>
      </c>
      <c r="AA11" s="194">
        <f t="shared" si="7"/>
        <v>1.0000000000006783</v>
      </c>
      <c r="AB11" s="194">
        <f t="shared" si="8"/>
        <v>-4.5645414611529128E-6</v>
      </c>
      <c r="AC11" s="196" t="str">
        <f t="shared" si="9"/>
        <v>385.639891777105-385.636703960658i</v>
      </c>
      <c r="AD11" s="197">
        <f t="shared" si="10"/>
        <v>54.733903102782371</v>
      </c>
      <c r="AE11" s="198">
        <f t="shared" si="11"/>
        <v>-44.999763186865408</v>
      </c>
      <c r="AF11" s="195" t="str">
        <f t="shared" si="12"/>
        <v>-0.0000119284294234592</v>
      </c>
      <c r="AG11" s="195" t="str">
        <f t="shared" si="13"/>
        <v>5.49235294117647E-09i</v>
      </c>
      <c r="AH11" s="195">
        <f t="shared" si="14"/>
        <v>5.4923529411764699E-9</v>
      </c>
      <c r="AI11" s="195">
        <f t="shared" si="15"/>
        <v>1.5707963267948966</v>
      </c>
      <c r="AJ11" s="195" t="str">
        <f t="shared" si="16"/>
        <v>1+4.74323462561276E-06i</v>
      </c>
      <c r="AK11" s="195">
        <f t="shared" si="17"/>
        <v>1.000000000011249</v>
      </c>
      <c r="AL11" s="195">
        <f t="shared" si="18"/>
        <v>4.7432346255771889E-6</v>
      </c>
      <c r="AM11" s="195" t="str">
        <f t="shared" si="19"/>
        <v>1+0.012078431372549i</v>
      </c>
      <c r="AN11" s="195">
        <f t="shared" si="20"/>
        <v>1.0000729415919727</v>
      </c>
      <c r="AO11" s="195">
        <f t="shared" si="21"/>
        <v>1.2077844055861561E-2</v>
      </c>
      <c r="AP11" s="191" t="str">
        <f t="shared" si="22"/>
        <v>-26.2219377329356+2171.82512382852i</v>
      </c>
      <c r="AQ11" s="195">
        <f t="shared" si="23"/>
        <v>66.737130097397483</v>
      </c>
      <c r="AR11" s="198">
        <f t="shared" si="24"/>
        <v>90.691737722692736</v>
      </c>
      <c r="AS11" s="191" t="str">
        <f t="shared" si="25"/>
        <v>827423.257102663+847654.547350819i</v>
      </c>
      <c r="AT11" s="197">
        <f t="shared" si="26"/>
        <v>121.47103320017985</v>
      </c>
      <c r="AU11" s="198">
        <f t="shared" si="27"/>
        <v>45.691974535827342</v>
      </c>
      <c r="AV11" s="225"/>
      <c r="AX11" s="213" t="s">
        <v>537</v>
      </c>
      <c r="AY11" s="213"/>
    </row>
    <row r="12" spans="1:51" x14ac:dyDescent="0.2">
      <c r="A12" s="98" t="s">
        <v>27</v>
      </c>
      <c r="B12" s="187">
        <f>VIN_max</f>
        <v>5.5</v>
      </c>
      <c r="C12" s="98" t="s">
        <v>10</v>
      </c>
      <c r="E12" s="98" t="s">
        <v>30</v>
      </c>
      <c r="N12" s="179" t="s">
        <v>263</v>
      </c>
      <c r="O12" s="186">
        <f>wz_ea/(2*PI())</f>
        <v>12.918420705510986</v>
      </c>
      <c r="P12" s="181" t="str">
        <f t="shared" si="28"/>
        <v>771.276595744681</v>
      </c>
      <c r="Q12" s="182" t="str">
        <f t="shared" si="29"/>
        <v>1+82.7922077922078i</v>
      </c>
      <c r="R12" s="182">
        <f t="shared" si="0"/>
        <v>82.798246787647102</v>
      </c>
      <c r="S12" s="182">
        <f t="shared" si="1"/>
        <v>1.558718482739035</v>
      </c>
      <c r="T12" s="182" t="str">
        <f t="shared" si="30"/>
        <v>1+0.0000194805194805195i</v>
      </c>
      <c r="U12" s="182">
        <f t="shared" si="2"/>
        <v>1.0000000001897453</v>
      </c>
      <c r="V12" s="182">
        <f t="shared" si="3"/>
        <v>1.9480519478055275E-5</v>
      </c>
      <c r="W12" s="183" t="str">
        <f t="shared" si="31"/>
        <v>1-0.0000551948051948051i</v>
      </c>
      <c r="X12" s="182">
        <f t="shared" si="4"/>
        <v>1.0000000015232331</v>
      </c>
      <c r="Y12" s="182">
        <f t="shared" si="5"/>
        <v>-5.519480513875539E-5</v>
      </c>
      <c r="Z12" s="183" t="str">
        <f t="shared" si="6"/>
        <v>0.999999933245763-0.000377908465126864i</v>
      </c>
      <c r="AA12" s="182">
        <f t="shared" si="7"/>
        <v>1.0000000046531694</v>
      </c>
      <c r="AB12" s="182">
        <f t="shared" si="8"/>
        <v>-3.7790847236354659E-4</v>
      </c>
      <c r="AC12" s="184" t="str">
        <f t="shared" si="9"/>
        <v>0.115691320540456-9.31441348846342i</v>
      </c>
      <c r="AD12" s="185">
        <f t="shared" si="10"/>
        <v>19.383780215705023</v>
      </c>
      <c r="AE12" s="186">
        <f t="shared" si="11"/>
        <v>-89.28838422730999</v>
      </c>
      <c r="AF12" s="183" t="str">
        <f t="shared" si="12"/>
        <v>-0.0000119284294234592</v>
      </c>
      <c r="AG12" s="183" t="str">
        <f t="shared" si="13"/>
        <v>4.54724025974026E-07i</v>
      </c>
      <c r="AH12" s="183">
        <f t="shared" si="14"/>
        <v>4.5472402597402598E-7</v>
      </c>
      <c r="AI12" s="183">
        <f t="shared" si="15"/>
        <v>1.5707963267948966</v>
      </c>
      <c r="AJ12" s="183" t="str">
        <f t="shared" si="16"/>
        <v>1+0.000392702866730927i</v>
      </c>
      <c r="AK12" s="183">
        <f t="shared" si="17"/>
        <v>1.0000000771077677</v>
      </c>
      <c r="AL12" s="183">
        <f t="shared" si="18"/>
        <v>3.9270284654396707E-4</v>
      </c>
      <c r="AM12" s="183" t="str">
        <f t="shared" si="19"/>
        <v>1+i</v>
      </c>
      <c r="AN12" s="183">
        <f t="shared" si="20"/>
        <v>1.4142135623730951</v>
      </c>
      <c r="AO12" s="183">
        <f t="shared" si="21"/>
        <v>0.78539816339744828</v>
      </c>
      <c r="AP12" s="179" t="str">
        <f t="shared" si="22"/>
        <v>-26.2219336896959+26.242536637595i</v>
      </c>
      <c r="AQ12" s="183">
        <f t="shared" si="23"/>
        <v>31.387006566202729</v>
      </c>
      <c r="AR12" s="186">
        <f t="shared" si="24"/>
        <v>134.97749978429019</v>
      </c>
      <c r="AS12" s="179" t="str">
        <f t="shared" si="25"/>
        <v>241.400187093025+247.277966570832i</v>
      </c>
      <c r="AT12" s="185">
        <f t="shared" si="26"/>
        <v>50.770786781907759</v>
      </c>
      <c r="AU12" s="186">
        <f t="shared" si="27"/>
        <v>45.68911555698029</v>
      </c>
      <c r="AV12" s="225"/>
      <c r="AX12" t="s">
        <v>538</v>
      </c>
      <c r="AY12">
        <f>SUM(AX19:AX559)/1000</f>
        <v>3.0902954325135918</v>
      </c>
    </row>
    <row r="13" spans="1:51" ht="16" thickBot="1" x14ac:dyDescent="0.25">
      <c r="A13" s="98" t="s">
        <v>68</v>
      </c>
      <c r="B13" s="187">
        <f>Fsw</f>
        <v>100000</v>
      </c>
      <c r="C13" s="98" t="s">
        <v>69</v>
      </c>
      <c r="E13" s="98" t="s">
        <v>70</v>
      </c>
      <c r="N13" s="191" t="s">
        <v>269</v>
      </c>
      <c r="O13" s="198">
        <f>wp1_ea/(2*PI())</f>
        <v>32896.171125642555</v>
      </c>
      <c r="P13" s="193" t="str">
        <f t="shared" si="28"/>
        <v>771.276595744681</v>
      </c>
      <c r="Q13" s="194" t="str">
        <f t="shared" si="29"/>
        <v>1+210826.593860685i</v>
      </c>
      <c r="R13" s="194">
        <f t="shared" si="0"/>
        <v>210826.59386305659</v>
      </c>
      <c r="S13" s="194">
        <f t="shared" si="1"/>
        <v>1.570791583560271</v>
      </c>
      <c r="T13" s="194" t="str">
        <f t="shared" si="30"/>
        <v>1+0.0496062573789847i</v>
      </c>
      <c r="U13" s="194">
        <f t="shared" si="2"/>
        <v>1.0012296343852143</v>
      </c>
      <c r="V13" s="194">
        <f t="shared" si="3"/>
        <v>4.9565627309721978E-2</v>
      </c>
      <c r="W13" s="195" t="str">
        <f t="shared" si="31"/>
        <v>1-0.14055106257379i</v>
      </c>
      <c r="X13" s="194">
        <f t="shared" si="4"/>
        <v>1.0098289960139892</v>
      </c>
      <c r="Y13" s="194">
        <f t="shared" si="5"/>
        <v>-0.13963636991161066</v>
      </c>
      <c r="Z13" s="195" t="str">
        <f t="shared" si="6"/>
        <v>0.567136770108975-0.962326728788055i</v>
      </c>
      <c r="AA13" s="194">
        <f t="shared" si="7"/>
        <v>1.1170124658881651</v>
      </c>
      <c r="AB13" s="194">
        <f t="shared" si="8"/>
        <v>-1.0382526025170209</v>
      </c>
      <c r="AC13" s="196" t="str">
        <f t="shared" si="9"/>
        <v>0.00269002585393174-0.00193105168591709i</v>
      </c>
      <c r="AD13" s="197">
        <f t="shared" si="10"/>
        <v>-49.599834541358767</v>
      </c>
      <c r="AE13" s="198">
        <f t="shared" si="11"/>
        <v>-35.672909448672975</v>
      </c>
      <c r="AF13" s="195" t="str">
        <f t="shared" si="12"/>
        <v>-0.0000119284294234592</v>
      </c>
      <c r="AG13" s="195" t="str">
        <f t="shared" si="13"/>
        <v>0.00115793406286895i</v>
      </c>
      <c r="AH13" s="195">
        <f t="shared" si="14"/>
        <v>1.1579340628689501E-3</v>
      </c>
      <c r="AI13" s="195">
        <f t="shared" si="15"/>
        <v>1.5707963267948966</v>
      </c>
      <c r="AJ13" s="195" t="str">
        <f t="shared" si="16"/>
        <v>1+i</v>
      </c>
      <c r="AK13" s="195">
        <f t="shared" si="17"/>
        <v>1.4142135623730951</v>
      </c>
      <c r="AL13" s="195">
        <f t="shared" si="18"/>
        <v>0.78539816339744828</v>
      </c>
      <c r="AM13" s="195" t="str">
        <f t="shared" si="19"/>
        <v>1+2546.45454545455i</v>
      </c>
      <c r="AN13" s="195">
        <f t="shared" si="20"/>
        <v>2546.4547418059756</v>
      </c>
      <c r="AO13" s="195">
        <f t="shared" si="21"/>
        <v>1.5704036239483528</v>
      </c>
      <c r="AP13" s="191" t="str">
        <f t="shared" si="22"/>
        <v>-13.1109688667629+13.1212703423011i</v>
      </c>
      <c r="AQ13" s="195">
        <f t="shared" si="23"/>
        <v>25.366407992422243</v>
      </c>
      <c r="AR13" s="198">
        <f t="shared" si="24"/>
        <v>134.97749978429019</v>
      </c>
      <c r="AS13" s="191" t="str">
        <f t="shared" si="25"/>
        <v>-0.00993099400581187+0.0606145149913867i</v>
      </c>
      <c r="AT13" s="197">
        <f t="shared" si="26"/>
        <v>-24.233426548936524</v>
      </c>
      <c r="AU13" s="198">
        <f t="shared" si="27"/>
        <v>99.304590335617206</v>
      </c>
      <c r="AV13" s="225"/>
      <c r="AX13"/>
      <c r="AY13"/>
    </row>
    <row r="14" spans="1:51" x14ac:dyDescent="0.2">
      <c r="A14" s="98" t="s">
        <v>563</v>
      </c>
      <c r="B14" s="98" t="s">
        <v>495</v>
      </c>
      <c r="E14" s="98" t="s">
        <v>564</v>
      </c>
      <c r="AX14" t="s">
        <v>539</v>
      </c>
      <c r="AY14" s="23">
        <f>SUM(AY19:AY559)</f>
        <v>89.092554418001967</v>
      </c>
    </row>
    <row r="15" spans="1:51" ht="16" thickBot="1" x14ac:dyDescent="0.25">
      <c r="O15" s="199" t="s">
        <v>231</v>
      </c>
      <c r="P15" s="98">
        <f>B17</f>
        <v>5</v>
      </c>
      <c r="Q15" s="98" t="s">
        <v>10</v>
      </c>
    </row>
    <row r="16" spans="1:51" ht="16" thickBot="1" x14ac:dyDescent="0.25">
      <c r="A16" s="200" t="s">
        <v>262</v>
      </c>
      <c r="O16" s="201"/>
      <c r="P16" s="242" t="s">
        <v>260</v>
      </c>
      <c r="Q16" s="242"/>
      <c r="R16" s="242"/>
      <c r="S16" s="242"/>
      <c r="T16" s="242"/>
      <c r="U16" s="242"/>
      <c r="V16" s="242"/>
      <c r="W16" s="242"/>
      <c r="X16" s="242"/>
      <c r="Y16" s="242"/>
      <c r="Z16" s="242"/>
      <c r="AA16" s="242"/>
      <c r="AB16" s="242"/>
      <c r="AC16" s="242"/>
      <c r="AD16" s="242"/>
      <c r="AE16" s="243"/>
      <c r="AF16" s="241" t="s">
        <v>261</v>
      </c>
      <c r="AG16" s="242"/>
      <c r="AH16" s="242"/>
      <c r="AI16" s="242"/>
      <c r="AJ16" s="242"/>
      <c r="AK16" s="242"/>
      <c r="AL16" s="242"/>
      <c r="AM16" s="242"/>
      <c r="AN16" s="242"/>
      <c r="AO16" s="242"/>
      <c r="AP16" s="242"/>
      <c r="AQ16" s="242"/>
      <c r="AR16" s="243"/>
      <c r="AS16" s="241" t="s">
        <v>272</v>
      </c>
      <c r="AT16" s="242"/>
      <c r="AU16" s="243"/>
    </row>
    <row r="17" spans="1:51" x14ac:dyDescent="0.2">
      <c r="A17" s="98" t="s">
        <v>233</v>
      </c>
      <c r="B17" s="98">
        <f>VIN_var</f>
        <v>5</v>
      </c>
      <c r="C17" s="98" t="s">
        <v>10</v>
      </c>
      <c r="E17" s="98" t="s">
        <v>234</v>
      </c>
      <c r="O17" s="202"/>
      <c r="Q17" s="244" t="s">
        <v>252</v>
      </c>
      <c r="R17" s="244"/>
      <c r="S17" s="244"/>
      <c r="T17" s="239" t="s">
        <v>254</v>
      </c>
      <c r="U17" s="239"/>
      <c r="V17" s="239"/>
      <c r="W17" s="239" t="s">
        <v>253</v>
      </c>
      <c r="X17" s="239"/>
      <c r="Y17" s="239"/>
      <c r="Z17" s="239" t="s">
        <v>257</v>
      </c>
      <c r="AA17" s="239"/>
      <c r="AB17" s="239"/>
      <c r="AC17" s="238" t="s">
        <v>259</v>
      </c>
      <c r="AD17" s="239"/>
      <c r="AE17" s="240"/>
      <c r="AG17" s="239" t="s">
        <v>268</v>
      </c>
      <c r="AH17" s="239"/>
      <c r="AI17" s="239"/>
      <c r="AJ17" s="239" t="s">
        <v>269</v>
      </c>
      <c r="AK17" s="239"/>
      <c r="AL17" s="239"/>
      <c r="AM17" s="239" t="s">
        <v>263</v>
      </c>
      <c r="AN17" s="239"/>
      <c r="AO17" s="239"/>
      <c r="AP17" s="238" t="s">
        <v>259</v>
      </c>
      <c r="AQ17" s="239"/>
      <c r="AR17" s="240"/>
      <c r="AS17" s="238" t="s">
        <v>259</v>
      </c>
      <c r="AT17" s="239"/>
      <c r="AU17" s="240"/>
      <c r="AV17" s="223"/>
    </row>
    <row r="18" spans="1:51" ht="16" thickBot="1" x14ac:dyDescent="0.25">
      <c r="A18" s="98" t="s">
        <v>450</v>
      </c>
      <c r="C18" s="98" t="s">
        <v>11</v>
      </c>
      <c r="E18" s="98" t="s">
        <v>451</v>
      </c>
      <c r="N18" s="170"/>
      <c r="O18" s="203" t="s">
        <v>230</v>
      </c>
      <c r="P18" s="194" t="s">
        <v>235</v>
      </c>
      <c r="Q18" s="195" t="s">
        <v>258</v>
      </c>
      <c r="R18" s="194" t="s">
        <v>255</v>
      </c>
      <c r="S18" s="194" t="s">
        <v>256</v>
      </c>
      <c r="T18" s="194" t="s">
        <v>258</v>
      </c>
      <c r="U18" s="194" t="s">
        <v>255</v>
      </c>
      <c r="V18" s="194" t="s">
        <v>256</v>
      </c>
      <c r="W18" s="194" t="s">
        <v>258</v>
      </c>
      <c r="X18" s="194" t="s">
        <v>255</v>
      </c>
      <c r="Y18" s="194" t="s">
        <v>256</v>
      </c>
      <c r="Z18" s="194" t="s">
        <v>258</v>
      </c>
      <c r="AA18" s="194" t="s">
        <v>255</v>
      </c>
      <c r="AB18" s="194" t="s">
        <v>256</v>
      </c>
      <c r="AC18" s="196" t="s">
        <v>273</v>
      </c>
      <c r="AD18" s="194" t="s">
        <v>255</v>
      </c>
      <c r="AE18" s="204" t="s">
        <v>256</v>
      </c>
      <c r="AF18" s="194" t="s">
        <v>270</v>
      </c>
      <c r="AG18" s="194" t="s">
        <v>258</v>
      </c>
      <c r="AH18" s="194" t="s">
        <v>271</v>
      </c>
      <c r="AI18" s="194" t="s">
        <v>256</v>
      </c>
      <c r="AJ18" s="194" t="s">
        <v>258</v>
      </c>
      <c r="AK18" s="194" t="s">
        <v>271</v>
      </c>
      <c r="AL18" s="194" t="s">
        <v>256</v>
      </c>
      <c r="AM18" s="194" t="s">
        <v>258</v>
      </c>
      <c r="AN18" s="194" t="s">
        <v>271</v>
      </c>
      <c r="AO18" s="194" t="s">
        <v>256</v>
      </c>
      <c r="AP18" s="196" t="s">
        <v>273</v>
      </c>
      <c r="AQ18" s="194" t="s">
        <v>255</v>
      </c>
      <c r="AR18" s="204" t="s">
        <v>256</v>
      </c>
      <c r="AS18" s="196" t="s">
        <v>273</v>
      </c>
      <c r="AT18" s="194" t="s">
        <v>255</v>
      </c>
      <c r="AU18" s="204" t="s">
        <v>256</v>
      </c>
      <c r="AV18" s="225"/>
      <c r="AX18" s="98" t="s">
        <v>535</v>
      </c>
      <c r="AY18" s="98" t="s">
        <v>536</v>
      </c>
    </row>
    <row r="19" spans="1:51" x14ac:dyDescent="0.2">
      <c r="N19" s="170">
        <v>1</v>
      </c>
      <c r="O19" s="199">
        <f>10^(1+(N19/100))</f>
        <v>10.232929922807543</v>
      </c>
      <c r="P19" s="189" t="str">
        <f t="shared" ref="P19:P82" si="32">COMPLEX(Adc,0)</f>
        <v>771.276595744681</v>
      </c>
      <c r="Q19" s="160" t="str">
        <f t="shared" ref="Q19:Q82" si="33">IMSUM(COMPLEX(1,0),IMDIV(COMPLEX(0,2*PI()*O19),COMPLEX(wp_lf,0)))</f>
        <v>1+65.5813028391904i</v>
      </c>
      <c r="R19" s="160">
        <f>IMABS(Q19)</f>
        <v>65.588926520302223</v>
      </c>
      <c r="S19" s="160">
        <f>IMARGUMENT(Q19)</f>
        <v>1.5555492599558138</v>
      </c>
      <c r="T19" s="160" t="str">
        <f t="shared" ref="T19:T82" si="34">IMSUM(COMPLEX(1,0),IMDIV(COMPLEX(0,2*PI()*O19),COMPLEX(wz_esr,0)))</f>
        <v>1+0.0000154308947856918i</v>
      </c>
      <c r="U19" s="160">
        <f>IMABS(T19)</f>
        <v>1.0000000001190561</v>
      </c>
      <c r="V19" s="160">
        <f>IMARGUMENT(T19)</f>
        <v>1.5430894784467037E-5</v>
      </c>
      <c r="W19" s="98" t="str">
        <f t="shared" ref="W19:W82" si="35">IMSUB(COMPLEX(1,0),IMDIV(COMPLEX(0,2*PI()*O19),COMPLEX(wz_rhp,0)))</f>
        <v>1-0.0000437208685594602i</v>
      </c>
      <c r="X19" s="160">
        <f>IMABS(W19)</f>
        <v>1.000000000955757</v>
      </c>
      <c r="Y19" s="160">
        <f>IMARGUMENT(W19)</f>
        <v>-4.3720868531602515E-5</v>
      </c>
      <c r="Z19" s="98" t="str">
        <f t="shared" ref="Z19:Z82" si="36">IF(Dc_Mode_Loop="CCM",IMSUM(COMPLEX(1,0),IMDIV(COMPLEX(0,2*PI()*O19),COMPLEX(Q*(wsl/2),0)),IMDIV(IMPOWER(COMPLEX(0,2*PI()*O19),2),IMPOWER(COMPLEX(wsl/2,0),2))),COMPLEX(1,0))</f>
        <v>0.999999958114858-0.000299348575885073i</v>
      </c>
      <c r="AA19" s="160">
        <f>IMABS(Z19)</f>
        <v>1.0000000029196439</v>
      </c>
      <c r="AB19" s="160">
        <f>IMARGUMENT(Z19)</f>
        <v>-2.9934857948183145E-4</v>
      </c>
      <c r="AC19" s="171" t="str">
        <f>(IMDIV(IMPRODUCT(P19,T19,W19),IMPRODUCT(Q19,Z19)))</f>
        <v>0.182474195160557-11.7578342974293i</v>
      </c>
      <c r="AD19" s="190">
        <f>20*LOG(IMABS(AC19))</f>
        <v>21.407592584264762</v>
      </c>
      <c r="AE19" s="169">
        <f>(180/PI())*IMARGUMENT(AC19)</f>
        <v>-89.110876906057385</v>
      </c>
      <c r="AF19" s="98" t="str">
        <f t="shared" ref="AF19:AF82" si="37">COMPLEX(Adc_ea,0)</f>
        <v>-0.0000119284294234592</v>
      </c>
      <c r="AG19" s="98" t="str">
        <f t="shared" ref="AG19:AG82" si="38">COMPLEX(0,2*PI()*O19*wp0_ea)</f>
        <v>3.60195661535012E-07i</v>
      </c>
      <c r="AH19" s="98">
        <f>IMABS(AG19)</f>
        <v>3.60195661535012E-7</v>
      </c>
      <c r="AI19" s="98">
        <f>IMARGUMENT(AG19)</f>
        <v>1.5707963267948966</v>
      </c>
      <c r="AJ19" s="98" t="str">
        <f t="shared" ref="AJ19:AJ82" si="39">IMSUM(COMPLEX(1,0),IMDIV(COMPLEX(0,2*PI()*O19),COMPLEX(wp1_ea,0)))</f>
        <v>1+0.000311067506419644i</v>
      </c>
      <c r="AK19" s="98">
        <f>IMABS(AJ19)</f>
        <v>1.0000000483814957</v>
      </c>
      <c r="AL19" s="98">
        <f>IMARGUMENT(AJ19)</f>
        <v>3.1106749638637021E-4</v>
      </c>
      <c r="AM19" s="98" t="str">
        <f t="shared" ref="AM19:AM82" si="40">IMSUM(COMPLEX(1,0),IMDIV(COMPLEX(0,2*PI()*O19),COMPLEX(wz_ea,0)))</f>
        <v>1+0.792119265665515i</v>
      </c>
      <c r="AN19" s="98">
        <f>IMABS(AM19)</f>
        <v>1.2757166343034312</v>
      </c>
      <c r="AO19" s="98">
        <f>IMARGUMENT(AM19)</f>
        <v>0.669917109612293</v>
      </c>
      <c r="AP19" s="168" t="str">
        <f>IMPRODUCT(AF19,IMDIV(AM19,IMPRODUCT(AG19,AJ19)))</f>
        <v>-26.2219351962127+33.1246839945297i</v>
      </c>
      <c r="AQ19" s="98">
        <f>20*LOG(IMABS(AP19))</f>
        <v>32.515979703533787</v>
      </c>
      <c r="AR19" s="169">
        <f>(180/PI())*IMARGUMENT(AP19)</f>
        <v>128.36560014970064</v>
      </c>
      <c r="AS19" s="168" t="str">
        <f>IMPRODUCT(AC19,AP19)</f>
        <v>384.689719041907+314.357569046848i</v>
      </c>
      <c r="AT19" s="190">
        <f>20*LOG(IMABS(AS19))</f>
        <v>53.923572287798542</v>
      </c>
      <c r="AU19" s="169">
        <f>(180/PI())*IMARGUMENT(AS19)</f>
        <v>39.254723243643348</v>
      </c>
      <c r="AV19" s="225"/>
      <c r="AX19">
        <f>SUM((AT20&lt;0)*(AT19&gt;0))*O19</f>
        <v>0</v>
      </c>
      <c r="AY19">
        <f>IF(AX19&gt;0,AU19,0)</f>
        <v>0</v>
      </c>
    </row>
    <row r="20" spans="1:51" x14ac:dyDescent="0.2">
      <c r="A20" s="98" t="s">
        <v>31</v>
      </c>
      <c r="B20" s="205">
        <f>VOUT</f>
        <v>170</v>
      </c>
      <c r="C20" s="98" t="s">
        <v>10</v>
      </c>
      <c r="E20" s="98" t="s">
        <v>206</v>
      </c>
      <c r="N20" s="170">
        <v>2</v>
      </c>
      <c r="O20" s="199">
        <f t="shared" ref="O20:O83" si="41">10^(1+(N20/100))</f>
        <v>10.471285480509</v>
      </c>
      <c r="P20" s="189" t="str">
        <f t="shared" si="32"/>
        <v>771.276595744681</v>
      </c>
      <c r="Q20" s="160" t="str">
        <f t="shared" si="33"/>
        <v>1+67.1088876199855i</v>
      </c>
      <c r="R20" s="160">
        <f t="shared" ref="R20:R83" si="42">IMABS(Q20)</f>
        <v>67.116337784416118</v>
      </c>
      <c r="S20" s="160">
        <f t="shared" ref="S20:S83" si="43">IMARGUMENT(Q20)</f>
        <v>1.5558962736051432</v>
      </c>
      <c r="T20" s="160" t="str">
        <f t="shared" si="34"/>
        <v>1+0.0000157903264988201i</v>
      </c>
      <c r="U20" s="160">
        <f t="shared" ref="U20:U83" si="44">IMABS(T20)</f>
        <v>1.0000000001246672</v>
      </c>
      <c r="V20" s="160">
        <f t="shared" ref="V20:V83" si="45">IMARGUMENT(T20)</f>
        <v>1.5790326497507744E-5</v>
      </c>
      <c r="W20" s="98" t="str">
        <f t="shared" si="35"/>
        <v>1-0.0000447392584133236i</v>
      </c>
      <c r="X20" s="160">
        <f t="shared" ref="X20:X83" si="46">IMABS(W20)</f>
        <v>1.0000000010008006</v>
      </c>
      <c r="Y20" s="160">
        <f t="shared" ref="Y20:Y83" si="47">IMARGUMENT(W20)</f>
        <v>-4.4739258383473552E-5</v>
      </c>
      <c r="Z20" s="98" t="str">
        <f t="shared" si="36"/>
        <v>0.999999956140872-0.000306321299952419i</v>
      </c>
      <c r="AA20" s="160">
        <f t="shared" ref="AA20:AA83" si="48">IMABS(Z20)</f>
        <v>1.0000000030572425</v>
      </c>
      <c r="AB20" s="160">
        <f t="shared" ref="AB20:AB83" si="49">IMARGUMENT(Z20)</f>
        <v>-3.0632130380641516E-4</v>
      </c>
      <c r="AC20" s="171" t="str">
        <f t="shared" ref="AC20:AC83" si="50">(IMDIV(IMPRODUCT(P20,T20,W20),IMPRODUCT(Q20,Z20)))</f>
        <v>0.174406769908517-11.4903135063433i</v>
      </c>
      <c r="AD20" s="190">
        <f t="shared" ref="AD20:AD83" si="51">20*LOG(IMABS(AC20))</f>
        <v>21.20763802050422</v>
      </c>
      <c r="AE20" s="169">
        <f t="shared" ref="AE20:AE83" si="52">(180/PI())*IMARGUMENT(AC20)</f>
        <v>-89.130397571442117</v>
      </c>
      <c r="AF20" s="98" t="str">
        <f t="shared" si="37"/>
        <v>-0.0000119284294234592</v>
      </c>
      <c r="AG20" s="98" t="str">
        <f t="shared" si="38"/>
        <v>3.68585696298708E-07i</v>
      </c>
      <c r="AH20" s="98">
        <f t="shared" ref="AH20:AH83" si="53">IMABS(AG20)</f>
        <v>3.6858569629870802E-7</v>
      </c>
      <c r="AI20" s="98">
        <f t="shared" ref="AI20:AI83" si="54">IMARGUMENT(AG20)</f>
        <v>1.5707963267948966</v>
      </c>
      <c r="AJ20" s="98" t="str">
        <f t="shared" si="39"/>
        <v>1+0.00031831319944547i</v>
      </c>
      <c r="AK20" s="98">
        <f t="shared" ref="AK20:AK83" si="55">IMABS(AJ20)</f>
        <v>1.0000000506616451</v>
      </c>
      <c r="AL20" s="98">
        <f t="shared" ref="AL20:AL83" si="56">IMARGUMENT(AJ20)</f>
        <v>3.1831318869462343E-4</v>
      </c>
      <c r="AM20" s="98" t="str">
        <f t="shared" si="40"/>
        <v>1+0.810570093606098i</v>
      </c>
      <c r="AN20" s="98">
        <f t="shared" ref="AN20:AN83" si="57">IMABS(AM20)</f>
        <v>1.2872543946899535</v>
      </c>
      <c r="AO20" s="98">
        <f t="shared" ref="AO20:AO83" si="58">IMARGUMENT(AM20)</f>
        <v>0.68115297158041932</v>
      </c>
      <c r="AP20" s="168" t="str">
        <f t="shared" ref="AP20:AP83" si="59">IMPRODUCT(AF20,IMDIV(AM20,IMPRODUCT(AG20,AJ20)))</f>
        <v>-26.2219350766328+32.3710497991625i</v>
      </c>
      <c r="AQ20" s="98">
        <f t="shared" ref="AQ20:AQ83" si="60">20*LOG(IMABS(AP20))</f>
        <v>32.394182979227153</v>
      </c>
      <c r="AR20" s="169">
        <f t="shared" ref="AR20:AR83" si="61">(180/PI())*IMARGUMENT(AP20)</f>
        <v>129.00895247207686</v>
      </c>
      <c r="AS20" s="168" t="str">
        <f t="shared" ref="AS20:AS83" si="62">IMPRODUCT(AC20,AP20)</f>
        <v>367.380227724362+306.943985007511i</v>
      </c>
      <c r="AT20" s="190">
        <f t="shared" ref="AT20:AT83" si="63">20*LOG(IMABS(AS20))</f>
        <v>53.601820999731373</v>
      </c>
      <c r="AU20" s="169">
        <f t="shared" ref="AU20:AU83" si="64">(180/PI())*IMARGUMENT(AS20)</f>
        <v>39.878554900634789</v>
      </c>
      <c r="AV20" s="225"/>
      <c r="AX20">
        <f t="shared" ref="AX20:AX83" si="65">SUM((AT21&lt;0)*(AT20&gt;0))*O20</f>
        <v>0</v>
      </c>
      <c r="AY20">
        <f t="shared" ref="AY20:AY83" si="66">IF(AX20&gt;0,AU20,0)</f>
        <v>0</v>
      </c>
    </row>
    <row r="21" spans="1:51" x14ac:dyDescent="0.2">
      <c r="A21" s="98" t="s">
        <v>33</v>
      </c>
      <c r="B21" s="205">
        <f>IOUT</f>
        <v>0.01</v>
      </c>
      <c r="C21" s="98" t="s">
        <v>11</v>
      </c>
      <c r="E21" s="98" t="s">
        <v>34</v>
      </c>
      <c r="N21" s="170">
        <v>3</v>
      </c>
      <c r="O21" s="199">
        <f t="shared" si="41"/>
        <v>10.715193052376069</v>
      </c>
      <c r="P21" s="189" t="str">
        <f t="shared" si="32"/>
        <v>771.276595744681</v>
      </c>
      <c r="Q21" s="160" t="str">
        <f t="shared" si="33"/>
        <v>1+68.6720544212878i</v>
      </c>
      <c r="R21" s="160">
        <f t="shared" si="42"/>
        <v>68.679335017458584</v>
      </c>
      <c r="S21" s="160">
        <f t="shared" si="43"/>
        <v>1.5562353917272391</v>
      </c>
      <c r="T21" s="160" t="str">
        <f t="shared" si="34"/>
        <v>1+0.0000161581304520677i</v>
      </c>
      <c r="U21" s="160">
        <f t="shared" si="44"/>
        <v>1.0000000001305425</v>
      </c>
      <c r="V21" s="160">
        <f t="shared" si="45"/>
        <v>1.6158130450661483E-5</v>
      </c>
      <c r="W21" s="98" t="str">
        <f t="shared" si="35"/>
        <v>1-0.0000457813696141918i</v>
      </c>
      <c r="X21" s="160">
        <f t="shared" si="46"/>
        <v>1.0000000010479668</v>
      </c>
      <c r="Y21" s="160">
        <f t="shared" si="47"/>
        <v>-4.5781369582206894E-5</v>
      </c>
      <c r="Z21" s="98" t="str">
        <f t="shared" si="36"/>
        <v>0.999999954073855-0.000313456439627641i</v>
      </c>
      <c r="AA21" s="160">
        <f t="shared" si="48"/>
        <v>1.0000000032013259</v>
      </c>
      <c r="AB21" s="160">
        <f t="shared" si="49"/>
        <v>-3.1345644375727218E-4</v>
      </c>
      <c r="AC21" s="171" t="str">
        <f t="shared" si="50"/>
        <v>0.166702281020584-11.2288742099574i</v>
      </c>
      <c r="AD21" s="190">
        <f t="shared" si="51"/>
        <v>21.007681412150102</v>
      </c>
      <c r="AE21" s="169">
        <f t="shared" si="52"/>
        <v>-89.149457430148459</v>
      </c>
      <c r="AF21" s="98" t="str">
        <f t="shared" si="37"/>
        <v>-0.0000119284294234592</v>
      </c>
      <c r="AG21" s="98" t="str">
        <f t="shared" si="38"/>
        <v>3.7717116007739E-07i</v>
      </c>
      <c r="AH21" s="98">
        <f t="shared" si="53"/>
        <v>3.7717116007739002E-7</v>
      </c>
      <c r="AI21" s="98">
        <f t="shared" si="54"/>
        <v>1.5707963267948966</v>
      </c>
      <c r="AJ21" s="98" t="str">
        <f t="shared" si="39"/>
        <v>1+0.000325727666343016i</v>
      </c>
      <c r="AK21" s="98">
        <f t="shared" si="55"/>
        <v>1.000000053049255</v>
      </c>
      <c r="AL21" s="98">
        <f t="shared" si="56"/>
        <v>3.2572765482327643E-4</v>
      </c>
      <c r="AM21" s="98" t="str">
        <f t="shared" si="40"/>
        <v>1+0.829450696539475i</v>
      </c>
      <c r="AN21" s="98">
        <f t="shared" si="57"/>
        <v>1.2992260996415597</v>
      </c>
      <c r="AO21" s="98">
        <f t="shared" si="58"/>
        <v>0.69244250425452691</v>
      </c>
      <c r="AP21" s="168" t="str">
        <f t="shared" si="59"/>
        <v>-26.2219349514173+31.6345791628765i</v>
      </c>
      <c r="AQ21" s="98">
        <f t="shared" si="60"/>
        <v>32.274590021913646</v>
      </c>
      <c r="AR21" s="169">
        <f t="shared" si="61"/>
        <v>129.65537022936186</v>
      </c>
      <c r="AS21" s="168" t="str">
        <f t="shared" si="62"/>
        <v>350.849453735705+299.716365616728i</v>
      </c>
      <c r="AT21" s="190">
        <f t="shared" si="63"/>
        <v>53.282271434063745</v>
      </c>
      <c r="AU21" s="169">
        <f t="shared" si="64"/>
        <v>40.505912799213426</v>
      </c>
      <c r="AV21" s="225"/>
      <c r="AX21">
        <f t="shared" si="65"/>
        <v>0</v>
      </c>
      <c r="AY21">
        <f t="shared" si="66"/>
        <v>0</v>
      </c>
    </row>
    <row r="22" spans="1:51" x14ac:dyDescent="0.2">
      <c r="N22" s="170">
        <v>4</v>
      </c>
      <c r="O22" s="199">
        <f t="shared" si="41"/>
        <v>10.964781961431854</v>
      </c>
      <c r="P22" s="189" t="str">
        <f t="shared" si="32"/>
        <v>771.276595744681</v>
      </c>
      <c r="Q22" s="160" t="str">
        <f t="shared" si="33"/>
        <v>1+70.2716320548263i</v>
      </c>
      <c r="R22" s="160">
        <f t="shared" si="42"/>
        <v>70.278746941368354</v>
      </c>
      <c r="S22" s="160">
        <f t="shared" si="43"/>
        <v>1.5565667938148482</v>
      </c>
      <c r="T22" s="160" t="str">
        <f t="shared" si="34"/>
        <v>1+0.0000165345016599591i</v>
      </c>
      <c r="U22" s="160">
        <f t="shared" si="44"/>
        <v>1.0000000001366949</v>
      </c>
      <c r="V22" s="160">
        <f t="shared" si="45"/>
        <v>1.6534501658452312E-5</v>
      </c>
      <c r="W22" s="98" t="str">
        <f t="shared" si="35"/>
        <v>1-0.0000468477547032175i</v>
      </c>
      <c r="X22" s="160">
        <f t="shared" si="46"/>
        <v>1.000000001097356</v>
      </c>
      <c r="Y22" s="160">
        <f t="shared" si="47"/>
        <v>-4.6847754668945059E-5</v>
      </c>
      <c r="Z22" s="98" t="str">
        <f t="shared" si="36"/>
        <v>0.999999951909423-0.000320757778056241i</v>
      </c>
      <c r="AA22" s="160">
        <f t="shared" si="48"/>
        <v>1.0000000033522003</v>
      </c>
      <c r="AB22" s="160">
        <f t="shared" si="49"/>
        <v>-3.2075778248122041E-4</v>
      </c>
      <c r="AC22" s="171" t="str">
        <f t="shared" si="50"/>
        <v>0.159344407530937-10.9733785116896i</v>
      </c>
      <c r="AD22" s="190">
        <f t="shared" si="51"/>
        <v>20.807722851182202</v>
      </c>
      <c r="AE22" s="169">
        <f t="shared" si="52"/>
        <v>-89.168066570079688</v>
      </c>
      <c r="AF22" s="98" t="str">
        <f t="shared" si="37"/>
        <v>-0.0000119284294234592</v>
      </c>
      <c r="AG22" s="98" t="str">
        <f t="shared" si="38"/>
        <v>3.85956604997596E-07i</v>
      </c>
      <c r="AH22" s="98">
        <f t="shared" si="53"/>
        <v>3.8595660499759598E-7</v>
      </c>
      <c r="AI22" s="98">
        <f t="shared" si="54"/>
        <v>1.5707963267948966</v>
      </c>
      <c r="AJ22" s="98" t="str">
        <f t="shared" si="39"/>
        <v>1+0.000333314838360772i</v>
      </c>
      <c r="AK22" s="98">
        <f t="shared" si="55"/>
        <v>1.0000000555493893</v>
      </c>
      <c r="AL22" s="98">
        <f t="shared" si="56"/>
        <v>3.333148260171487E-4</v>
      </c>
      <c r="AM22" s="98" t="str">
        <f t="shared" si="40"/>
        <v>1+0.848771085211235i</v>
      </c>
      <c r="AN22" s="98">
        <f t="shared" si="57"/>
        <v>1.311644904343648</v>
      </c>
      <c r="AO22" s="98">
        <f t="shared" si="58"/>
        <v>0.70378018309026313</v>
      </c>
      <c r="AP22" s="168" t="str">
        <f t="shared" si="59"/>
        <v>-26.2219348203006+30.9148815991922i</v>
      </c>
      <c r="AQ22" s="98">
        <f t="shared" si="60"/>
        <v>32.157220800749016</v>
      </c>
      <c r="AR22" s="169">
        <f t="shared" si="61"/>
        <v>130.30453666323643</v>
      </c>
      <c r="AS22" s="168" t="str">
        <f t="shared" si="62"/>
        <v>335.062378763748+292.669329584324i</v>
      </c>
      <c r="AT22" s="190">
        <f t="shared" si="63"/>
        <v>52.9649436519312</v>
      </c>
      <c r="AU22" s="169">
        <f t="shared" si="64"/>
        <v>41.13647009315676</v>
      </c>
      <c r="AV22" s="225"/>
      <c r="AX22">
        <f t="shared" si="65"/>
        <v>0</v>
      </c>
      <c r="AY22">
        <f t="shared" si="66"/>
        <v>0</v>
      </c>
    </row>
    <row r="23" spans="1:51" x14ac:dyDescent="0.2">
      <c r="A23" s="98" t="s">
        <v>207</v>
      </c>
      <c r="N23" s="170">
        <v>5</v>
      </c>
      <c r="O23" s="199">
        <f t="shared" si="41"/>
        <v>11.220184543019636</v>
      </c>
      <c r="P23" s="189" t="str">
        <f t="shared" si="32"/>
        <v>771.276595744681</v>
      </c>
      <c r="Q23" s="160" t="str">
        <f t="shared" si="33"/>
        <v>1+71.9084686378354i</v>
      </c>
      <c r="R23" s="160">
        <f t="shared" si="42"/>
        <v>71.915421585627641</v>
      </c>
      <c r="S23" s="160">
        <f t="shared" si="43"/>
        <v>1.5568906552904009</v>
      </c>
      <c r="T23" s="160" t="str">
        <f t="shared" si="34"/>
        <v>1+0.0000169196396794907i</v>
      </c>
      <c r="U23" s="160">
        <f t="shared" si="44"/>
        <v>1.0000000001431371</v>
      </c>
      <c r="V23" s="160">
        <f t="shared" si="45"/>
        <v>1.6919639677876148E-5</v>
      </c>
      <c r="W23" s="98" t="str">
        <f t="shared" si="35"/>
        <v>1-0.0000479389790918902i</v>
      </c>
      <c r="X23" s="160">
        <f t="shared" si="46"/>
        <v>1.0000000011490728</v>
      </c>
      <c r="Y23" s="160">
        <f t="shared" si="47"/>
        <v>-4.7938979055166611E-5</v>
      </c>
      <c r="Z23" s="98" t="str">
        <f t="shared" si="36"/>
        <v>0.999999949642984-0.000328229186504497i</v>
      </c>
      <c r="AA23" s="160">
        <f t="shared" si="48"/>
        <v>1.0000000035101846</v>
      </c>
      <c r="AB23" s="160">
        <f t="shared" si="49"/>
        <v>-3.2822919124594787E-4</v>
      </c>
      <c r="AC23" s="171" t="str">
        <f t="shared" si="50"/>
        <v>0.15231756181913-10.7236916181747i</v>
      </c>
      <c r="AD23" s="190">
        <f t="shared" si="51"/>
        <v>20.607762425443358</v>
      </c>
      <c r="AE23" s="169">
        <f t="shared" si="52"/>
        <v>-89.186234841355272</v>
      </c>
      <c r="AF23" s="98" t="str">
        <f t="shared" si="37"/>
        <v>-0.0000119284294234592</v>
      </c>
      <c r="AG23" s="98" t="str">
        <f t="shared" si="38"/>
        <v>3.94946689218511E-07i</v>
      </c>
      <c r="AH23" s="98">
        <f t="shared" si="53"/>
        <v>3.9494668921851097E-7</v>
      </c>
      <c r="AI23" s="98">
        <f t="shared" si="54"/>
        <v>1.5707963267948966</v>
      </c>
      <c r="AJ23" s="98" t="str">
        <f t="shared" si="39"/>
        <v>1+0.00034107873831777i</v>
      </c>
      <c r="AK23" s="98">
        <f t="shared" si="55"/>
        <v>1.0000000581673512</v>
      </c>
      <c r="AL23" s="98">
        <f t="shared" si="56"/>
        <v>3.4107872509133938E-4</v>
      </c>
      <c r="AM23" s="98" t="str">
        <f t="shared" si="40"/>
        <v>1+0.868541503547188i</v>
      </c>
      <c r="AN23" s="98">
        <f t="shared" si="57"/>
        <v>1.324524195091962</v>
      </c>
      <c r="AO23" s="98">
        <f t="shared" si="58"/>
        <v>0.71516036124123572</v>
      </c>
      <c r="AP23" s="168" t="str">
        <f t="shared" si="59"/>
        <v>-26.2219346830046+30.2115755149344i</v>
      </c>
      <c r="AQ23" s="98">
        <f t="shared" si="60"/>
        <v>32.042093169662721</v>
      </c>
      <c r="AR23" s="169">
        <f t="shared" si="61"/>
        <v>130.95612800274472</v>
      </c>
      <c r="AS23" s="168" t="str">
        <f t="shared" si="62"/>
        <v>319.985557964258+285.79769469361i</v>
      </c>
      <c r="AT23" s="190">
        <f t="shared" si="63"/>
        <v>52.649855595106075</v>
      </c>
      <c r="AU23" s="169">
        <f t="shared" si="64"/>
        <v>41.769893161389447</v>
      </c>
      <c r="AV23" s="225"/>
      <c r="AX23">
        <f t="shared" si="65"/>
        <v>0</v>
      </c>
      <c r="AY23">
        <f t="shared" si="66"/>
        <v>0</v>
      </c>
    </row>
    <row r="24" spans="1:51" x14ac:dyDescent="0.2">
      <c r="A24" s="98" t="s">
        <v>208</v>
      </c>
      <c r="B24" s="205">
        <f>Lm</f>
        <v>9.9999999999999991E-6</v>
      </c>
      <c r="C24" s="98" t="s">
        <v>98</v>
      </c>
      <c r="E24" s="98" t="s">
        <v>209</v>
      </c>
      <c r="N24" s="170">
        <v>6</v>
      </c>
      <c r="O24" s="199">
        <f t="shared" si="41"/>
        <v>11.481536214968834</v>
      </c>
      <c r="P24" s="189" t="str">
        <f t="shared" si="32"/>
        <v>771.276595744681</v>
      </c>
      <c r="Q24" s="160" t="str">
        <f t="shared" si="33"/>
        <v>1+73.5834320427374i</v>
      </c>
      <c r="R24" s="160">
        <f t="shared" si="42"/>
        <v>73.590226736898657</v>
      </c>
      <c r="S24" s="160">
        <f t="shared" si="43"/>
        <v>1.557207147597633</v>
      </c>
      <c r="T24" s="160" t="str">
        <f t="shared" si="34"/>
        <v>1+0.0000173137487159382i</v>
      </c>
      <c r="U24" s="160">
        <f t="shared" si="44"/>
        <v>1.000000000149883</v>
      </c>
      <c r="V24" s="160">
        <f t="shared" si="45"/>
        <v>1.7313748714208177E-5</v>
      </c>
      <c r="W24" s="98" t="str">
        <f t="shared" si="35"/>
        <v>1-0.0000490556213618248i</v>
      </c>
      <c r="X24" s="160">
        <f t="shared" si="46"/>
        <v>1.0000000012032269</v>
      </c>
      <c r="Y24" s="160">
        <f t="shared" si="47"/>
        <v>-4.905562132247477E-5</v>
      </c>
      <c r="Z24" s="98" t="str">
        <f t="shared" si="36"/>
        <v>0.99999994726973-0.000335874626412064i</v>
      </c>
      <c r="AA24" s="160">
        <f t="shared" si="48"/>
        <v>1.0000000036756136</v>
      </c>
      <c r="AB24" s="160">
        <f t="shared" si="49"/>
        <v>-3.3587463149262046E-4</v>
      </c>
      <c r="AC24" s="171" t="str">
        <f t="shared" si="50"/>
        <v>0.145606856711301-10.4796817710068i</v>
      </c>
      <c r="AD24" s="190">
        <f t="shared" si="51"/>
        <v>20.407800218826161</v>
      </c>
      <c r="AE24" s="169">
        <f t="shared" si="52"/>
        <v>-89.203971861454079</v>
      </c>
      <c r="AF24" s="98" t="str">
        <f t="shared" si="37"/>
        <v>-0.0000119284294234592</v>
      </c>
      <c r="AG24" s="98" t="str">
        <f t="shared" si="38"/>
        <v>4.04146179401787E-07i</v>
      </c>
      <c r="AH24" s="98">
        <f t="shared" si="53"/>
        <v>4.0414617940178699E-7</v>
      </c>
      <c r="AI24" s="98">
        <f t="shared" si="54"/>
        <v>1.5707963267948966</v>
      </c>
      <c r="AJ24" s="98" t="str">
        <f t="shared" si="39"/>
        <v>1+0.000349023482736535i</v>
      </c>
      <c r="AK24" s="98">
        <f t="shared" si="55"/>
        <v>1.0000000609086939</v>
      </c>
      <c r="AL24" s="98">
        <f t="shared" si="56"/>
        <v>3.4902346856415927E-4</v>
      </c>
      <c r="AM24" s="98" t="str">
        <f t="shared" si="40"/>
        <v>1+0.888772434084827i</v>
      </c>
      <c r="AN24" s="98">
        <f t="shared" si="57"/>
        <v>1.3378775876697644</v>
      </c>
      <c r="AO24" s="98">
        <f t="shared" si="58"/>
        <v>0.72657728285683576</v>
      </c>
      <c r="AP24" s="168" t="str">
        <f t="shared" si="59"/>
        <v>-26.221934539238+29.5242880079077i</v>
      </c>
      <c r="AQ24" s="98">
        <f t="shared" si="60"/>
        <v>31.929222795147982</v>
      </c>
      <c r="AR24" s="169">
        <f t="shared" si="61"/>
        <v>131.60981422608003</v>
      </c>
      <c r="AS24" s="168" t="str">
        <f t="shared" si="62"/>
        <v>305.587049373277+279.096468164857i</v>
      </c>
      <c r="AT24" s="190">
        <f t="shared" si="63"/>
        <v>52.337023013974147</v>
      </c>
      <c r="AU24" s="169">
        <f t="shared" si="64"/>
        <v>42.405842364625968</v>
      </c>
      <c r="AV24" s="225"/>
      <c r="AX24">
        <f t="shared" si="65"/>
        <v>0</v>
      </c>
      <c r="AY24">
        <f t="shared" si="66"/>
        <v>0</v>
      </c>
    </row>
    <row r="25" spans="1:51" x14ac:dyDescent="0.2">
      <c r="N25" s="170">
        <v>7</v>
      </c>
      <c r="O25" s="199">
        <f t="shared" si="41"/>
        <v>11.748975549395301</v>
      </c>
      <c r="P25" s="189" t="str">
        <f t="shared" si="32"/>
        <v>771.276595744681</v>
      </c>
      <c r="Q25" s="160" t="str">
        <f t="shared" si="33"/>
        <v>1+75.2974103573003i</v>
      </c>
      <c r="R25" s="160">
        <f t="shared" si="42"/>
        <v>75.304050399136386</v>
      </c>
      <c r="S25" s="160">
        <f t="shared" si="43"/>
        <v>1.5575164382911921</v>
      </c>
      <c r="T25" s="160" t="str">
        <f t="shared" si="34"/>
        <v>1+0.0000177170377311295i</v>
      </c>
      <c r="U25" s="160">
        <f t="shared" si="44"/>
        <v>1.0000000001569467</v>
      </c>
      <c r="V25" s="160">
        <f t="shared" si="45"/>
        <v>1.7717037729275745E-5</v>
      </c>
      <c r="W25" s="98" t="str">
        <f t="shared" si="35"/>
        <v>1-0.0000501982735715334i</v>
      </c>
      <c r="X25" s="160">
        <f t="shared" si="46"/>
        <v>1.0000000012599333</v>
      </c>
      <c r="Y25" s="160">
        <f t="shared" si="47"/>
        <v>-5.019827352936908E-5</v>
      </c>
      <c r="Z25" s="98" t="str">
        <f t="shared" si="36"/>
        <v>0.999999944784629-0.000343698151492382i</v>
      </c>
      <c r="AA25" s="160">
        <f t="shared" si="48"/>
        <v>1.0000000038488401</v>
      </c>
      <c r="AB25" s="160">
        <f t="shared" si="49"/>
        <v>-3.4369815693629624E-4</v>
      </c>
      <c r="AC25" s="171" t="str">
        <f t="shared" si="50"/>
        <v>0.139198074052659-10.2412201798754i</v>
      </c>
      <c r="AD25" s="190">
        <f t="shared" si="51"/>
        <v>20.207836311449931</v>
      </c>
      <c r="AE25" s="169">
        <f t="shared" si="52"/>
        <v>-89.221287020239274</v>
      </c>
      <c r="AF25" s="98" t="str">
        <f t="shared" si="37"/>
        <v>-0.0000119284294234592</v>
      </c>
      <c r="AG25" s="98" t="str">
        <f t="shared" si="38"/>
        <v>4.13559953238889E-07i</v>
      </c>
      <c r="AH25" s="98">
        <f t="shared" si="53"/>
        <v>4.1355995323888901E-7</v>
      </c>
      <c r="AI25" s="98">
        <f t="shared" si="54"/>
        <v>1.5707963267948966</v>
      </c>
      <c r="AJ25" s="98" t="str">
        <f t="shared" si="39"/>
        <v>1+0.000357153284025719i</v>
      </c>
      <c r="AK25" s="98">
        <f t="shared" si="55"/>
        <v>1.0000000637792321</v>
      </c>
      <c r="AL25" s="98">
        <f t="shared" si="56"/>
        <v>3.5715326883974487E-4</v>
      </c>
      <c r="AM25" s="98" t="str">
        <f t="shared" si="40"/>
        <v>1+0.909474603531312i</v>
      </c>
      <c r="AN25" s="98">
        <f t="shared" si="57"/>
        <v>1.3517189258379263</v>
      </c>
      <c r="AO25" s="98">
        <f t="shared" si="58"/>
        <v>0.73802509705126018</v>
      </c>
      <c r="AP25" s="168" t="str">
        <f t="shared" si="59"/>
        <v>-26.2219343886959+28.8526546691783i</v>
      </c>
      <c r="AQ25" s="98">
        <f t="shared" si="60"/>
        <v>31.818623092174768</v>
      </c>
      <c r="AR25" s="169">
        <f t="shared" si="61"/>
        <v>132.26525986082635</v>
      </c>
      <c r="AS25" s="168" t="str">
        <f t="shared" si="62"/>
        <v>291.836346476123+272.560837578137i</v>
      </c>
      <c r="AT25" s="190">
        <f t="shared" si="63"/>
        <v>52.026459403624692</v>
      </c>
      <c r="AU25" s="169">
        <f t="shared" si="64"/>
        <v>43.043972840587088</v>
      </c>
      <c r="AV25" s="225"/>
      <c r="AX25">
        <f t="shared" si="65"/>
        <v>0</v>
      </c>
      <c r="AY25">
        <f t="shared" si="66"/>
        <v>0</v>
      </c>
    </row>
    <row r="26" spans="1:51" x14ac:dyDescent="0.2">
      <c r="A26" s="98" t="s">
        <v>160</v>
      </c>
      <c r="B26" s="205">
        <f>R_cs</f>
        <v>4.7E-2</v>
      </c>
      <c r="C26" s="206" t="s">
        <v>36</v>
      </c>
      <c r="E26" s="98" t="s">
        <v>210</v>
      </c>
      <c r="N26" s="170">
        <v>8</v>
      </c>
      <c r="O26" s="199">
        <f t="shared" si="41"/>
        <v>12.022644346174133</v>
      </c>
      <c r="P26" s="189" t="str">
        <f t="shared" si="32"/>
        <v>771.276595744681</v>
      </c>
      <c r="Q26" s="160" t="str">
        <f t="shared" si="33"/>
        <v>1+77.0513123555135i</v>
      </c>
      <c r="R26" s="160">
        <f t="shared" si="42"/>
        <v>77.057801264420391</v>
      </c>
      <c r="S26" s="160">
        <f t="shared" si="43"/>
        <v>1.5578186911242664</v>
      </c>
      <c r="T26" s="160" t="str">
        <f t="shared" si="34"/>
        <v>1+0.0000181297205542385i</v>
      </c>
      <c r="U26" s="160">
        <f t="shared" si="44"/>
        <v>1.0000000001643434</v>
      </c>
      <c r="V26" s="160">
        <f t="shared" si="45"/>
        <v>1.8129720552252168E-5</v>
      </c>
      <c r="W26" s="98" t="str">
        <f t="shared" si="35"/>
        <v>1-0.0000513675415703423i</v>
      </c>
      <c r="X26" s="160">
        <f t="shared" si="46"/>
        <v>1.0000000013193122</v>
      </c>
      <c r="Y26" s="160">
        <f t="shared" si="47"/>
        <v>-5.1367541525162417E-5</v>
      </c>
      <c r="Z26" s="98" t="str">
        <f t="shared" si="36"/>
        <v>0.999999942182409-0.000351703909882003i</v>
      </c>
      <c r="AA26" s="160">
        <f t="shared" si="48"/>
        <v>1.0000000040302306</v>
      </c>
      <c r="AB26" s="160">
        <f t="shared" si="49"/>
        <v>-3.5170391571526211E-4</v>
      </c>
      <c r="AC26" s="171" t="str">
        <f t="shared" si="50"/>
        <v>0.133077634685845-10.0081809570764i</v>
      </c>
      <c r="AD26" s="190">
        <f t="shared" si="51"/>
        <v>20.007870779830498</v>
      </c>
      <c r="AE26" s="169">
        <f t="shared" si="52"/>
        <v>-89.238189484867704</v>
      </c>
      <c r="AF26" s="98" t="str">
        <f t="shared" si="37"/>
        <v>-0.0000119284294234592</v>
      </c>
      <c r="AG26" s="98" t="str">
        <f t="shared" si="38"/>
        <v>4.23193002037312E-07i</v>
      </c>
      <c r="AH26" s="98">
        <f t="shared" si="53"/>
        <v>4.2319300203731202E-7</v>
      </c>
      <c r="AI26" s="98">
        <f t="shared" si="54"/>
        <v>1.5707963267948966</v>
      </c>
      <c r="AJ26" s="98" t="str">
        <f t="shared" si="39"/>
        <v>1+0.000365472452713576i</v>
      </c>
      <c r="AK26" s="98">
        <f t="shared" si="55"/>
        <v>1.0000000667850546</v>
      </c>
      <c r="AL26" s="98">
        <f t="shared" si="56"/>
        <v>3.6547243644151161E-4</v>
      </c>
      <c r="AM26" s="98" t="str">
        <f t="shared" si="40"/>
        <v>1+0.930658988450908i</v>
      </c>
      <c r="AN26" s="98">
        <f t="shared" si="57"/>
        <v>1.3660622799801139</v>
      </c>
      <c r="AO26" s="98">
        <f t="shared" si="58"/>
        <v>0.74949787246503186</v>
      </c>
      <c r="AP26" s="168" t="str">
        <f t="shared" si="59"/>
        <v>-26.2219342310589+28.1963193898594i</v>
      </c>
      <c r="AQ26" s="98">
        <f t="shared" si="60"/>
        <v>31.710305168775431</v>
      </c>
      <c r="AR26" s="169">
        <f t="shared" si="61"/>
        <v>132.92212481814423</v>
      </c>
      <c r="AS26" s="168" t="str">
        <f t="shared" si="62"/>
        <v>278.704313792878+266.186162320243i</v>
      </c>
      <c r="AT26" s="190">
        <f t="shared" si="63"/>
        <v>51.718175948605932</v>
      </c>
      <c r="AU26" s="169">
        <f t="shared" si="64"/>
        <v>43.683935333276558</v>
      </c>
      <c r="AV26" s="225"/>
      <c r="AX26">
        <f t="shared" si="65"/>
        <v>0</v>
      </c>
      <c r="AY26">
        <f t="shared" si="66"/>
        <v>0</v>
      </c>
    </row>
    <row r="27" spans="1:51" x14ac:dyDescent="0.2">
      <c r="A27" s="98" t="s">
        <v>161</v>
      </c>
      <c r="B27" s="205">
        <f>R_sl</f>
        <v>0</v>
      </c>
      <c r="C27" s="206" t="s">
        <v>36</v>
      </c>
      <c r="E27" s="98" t="s">
        <v>211</v>
      </c>
      <c r="N27" s="170">
        <v>9</v>
      </c>
      <c r="O27" s="199">
        <f t="shared" si="41"/>
        <v>12.302687708123818</v>
      </c>
      <c r="P27" s="189" t="str">
        <f t="shared" si="32"/>
        <v>771.276595744681</v>
      </c>
      <c r="Q27" s="160" t="str">
        <f t="shared" si="33"/>
        <v>1+78.8460679794326i</v>
      </c>
      <c r="R27" s="160">
        <f t="shared" si="42"/>
        <v>78.852409194756419</v>
      </c>
      <c r="S27" s="160">
        <f t="shared" si="43"/>
        <v>1.5581140661342787</v>
      </c>
      <c r="T27" s="160" t="str">
        <f t="shared" si="34"/>
        <v>1+0.0000185520159951606i</v>
      </c>
      <c r="U27" s="160">
        <f t="shared" si="44"/>
        <v>1.0000000001720886</v>
      </c>
      <c r="V27" s="160">
        <f t="shared" si="45"/>
        <v>1.8552015993032207E-5</v>
      </c>
      <c r="W27" s="98" t="str">
        <f t="shared" si="35"/>
        <v>1-0.0000525640453196216i</v>
      </c>
      <c r="X27" s="160">
        <f t="shared" si="46"/>
        <v>1.0000000013814894</v>
      </c>
      <c r="Y27" s="160">
        <f t="shared" si="47"/>
        <v>-5.256404527121048E-5</v>
      </c>
      <c r="Z27" s="98" t="str">
        <f t="shared" si="36"/>
        <v>0.99999993945755-0.000359896146339996i</v>
      </c>
      <c r="AA27" s="160">
        <f t="shared" si="48"/>
        <v>1.00000000422017</v>
      </c>
      <c r="AB27" s="160">
        <f t="shared" si="49"/>
        <v>-3.5989615259044577E-4</v>
      </c>
      <c r="AC27" s="171" t="str">
        <f t="shared" si="50"/>
        <v>0.127232569772644-9.78044105337532i</v>
      </c>
      <c r="AD27" s="190">
        <f t="shared" si="51"/>
        <v>19.807903697041979</v>
      </c>
      <c r="AE27" s="169">
        <f t="shared" si="52"/>
        <v>-89.25468820458569</v>
      </c>
      <c r="AF27" s="98" t="str">
        <f t="shared" si="37"/>
        <v>-0.0000119284294234592</v>
      </c>
      <c r="AG27" s="98" t="str">
        <f t="shared" si="38"/>
        <v>4.33050433367036E-07i</v>
      </c>
      <c r="AH27" s="98">
        <f t="shared" si="53"/>
        <v>4.3305043336703601E-7</v>
      </c>
      <c r="AI27" s="98">
        <f t="shared" si="54"/>
        <v>1.5707963267948966</v>
      </c>
      <c r="AJ27" s="98" t="str">
        <f t="shared" si="39"/>
        <v>1+0.000373985399733462i</v>
      </c>
      <c r="AK27" s="98">
        <f t="shared" si="55"/>
        <v>1.0000000699325371</v>
      </c>
      <c r="AL27" s="98">
        <f t="shared" si="56"/>
        <v>3.7398538229763096E-4</v>
      </c>
      <c r="AM27" s="98" t="str">
        <f t="shared" si="40"/>
        <v>1+0.95233682108491i</v>
      </c>
      <c r="AN27" s="98">
        <f t="shared" si="57"/>
        <v>1.3809219459455744</v>
      </c>
      <c r="AO27" s="98">
        <f t="shared" si="58"/>
        <v>0.76098961233354134</v>
      </c>
      <c r="AP27" s="168" t="str">
        <f t="shared" si="59"/>
        <v>-26.2219340659928+27.554934172298i</v>
      </c>
      <c r="AQ27" s="98">
        <f t="shared" si="60"/>
        <v>31.604277779784407</v>
      </c>
      <c r="AR27" s="169">
        <f t="shared" si="61"/>
        <v>133.58006525600328</v>
      </c>
      <c r="AS27" s="168" t="str">
        <f t="shared" si="62"/>
        <v>266.163125346173+259.967965522594i</v>
      </c>
      <c r="AT27" s="190">
        <f t="shared" si="63"/>
        <v>51.412181476826376</v>
      </c>
      <c r="AU27" s="169">
        <f t="shared" si="64"/>
        <v>44.325377051417526</v>
      </c>
      <c r="AV27" s="225"/>
      <c r="AX27">
        <f t="shared" si="65"/>
        <v>0</v>
      </c>
      <c r="AY27">
        <f t="shared" si="66"/>
        <v>0</v>
      </c>
    </row>
    <row r="28" spans="1:51" x14ac:dyDescent="0.2">
      <c r="A28" s="98" t="s">
        <v>146</v>
      </c>
      <c r="B28" s="207">
        <f>Rsl_int</f>
        <v>1333</v>
      </c>
      <c r="C28" s="206" t="s">
        <v>36</v>
      </c>
      <c r="E28" s="98" t="s">
        <v>212</v>
      </c>
      <c r="N28" s="170">
        <v>10</v>
      </c>
      <c r="O28" s="199">
        <f t="shared" si="41"/>
        <v>12.58925411794168</v>
      </c>
      <c r="P28" s="189" t="str">
        <f t="shared" si="32"/>
        <v>771.276595744681</v>
      </c>
      <c r="Q28" s="160" t="str">
        <f t="shared" si="33"/>
        <v>1+80.6826288322453i</v>
      </c>
      <c r="R28" s="160">
        <f t="shared" si="42"/>
        <v>80.688825715100478</v>
      </c>
      <c r="S28" s="160">
        <f t="shared" si="43"/>
        <v>1.5584027197266879</v>
      </c>
      <c r="T28" s="160" t="str">
        <f t="shared" si="34"/>
        <v>1+0.0000189841479605283i</v>
      </c>
      <c r="U28" s="160">
        <f t="shared" si="44"/>
        <v>1.000000000180199</v>
      </c>
      <c r="V28" s="160">
        <f t="shared" si="45"/>
        <v>1.8984147958247684E-5</v>
      </c>
      <c r="W28" s="98" t="str">
        <f t="shared" si="35"/>
        <v>1-0.0000537884192214968i</v>
      </c>
      <c r="X28" s="160">
        <f t="shared" si="46"/>
        <v>1.0000000014465971</v>
      </c>
      <c r="Y28" s="160">
        <f t="shared" si="47"/>
        <v>-5.3788419169623356E-5</v>
      </c>
      <c r="Z28" s="98" t="str">
        <f t="shared" si="36"/>
        <v>0.999999936604272-0.000368279204498566i</v>
      </c>
      <c r="AA28" s="160">
        <f t="shared" si="48"/>
        <v>1.0000000044190602</v>
      </c>
      <c r="AB28" s="160">
        <f t="shared" si="49"/>
        <v>-3.6827921119604357E-4</v>
      </c>
      <c r="AC28" s="171" t="str">
        <f t="shared" si="50"/>
        <v>0.12165049339929-9.55788019520213i</v>
      </c>
      <c r="AD28" s="190">
        <f t="shared" si="51"/>
        <v>19.607935132871823</v>
      </c>
      <c r="AE28" s="169">
        <f t="shared" si="52"/>
        <v>-89.270791915413639</v>
      </c>
      <c r="AF28" s="98" t="str">
        <f t="shared" si="37"/>
        <v>-0.0000119284294234592</v>
      </c>
      <c r="AG28" s="98" t="str">
        <f t="shared" si="38"/>
        <v>4.43137473768632E-07i</v>
      </c>
      <c r="AH28" s="98">
        <f t="shared" si="53"/>
        <v>4.4313747376863198E-7</v>
      </c>
      <c r="AI28" s="98">
        <f t="shared" si="54"/>
        <v>1.5707963267948966</v>
      </c>
      <c r="AJ28" s="98" t="str">
        <f t="shared" si="39"/>
        <v>1+0.000382696638762569i</v>
      </c>
      <c r="AK28" s="98">
        <f t="shared" si="55"/>
        <v>1.000000073228356</v>
      </c>
      <c r="AL28" s="98">
        <f t="shared" si="56"/>
        <v>3.8269662007973953E-4</v>
      </c>
      <c r="AM28" s="98" t="str">
        <f t="shared" si="40"/>
        <v>1+0.97451959530712i</v>
      </c>
      <c r="AN28" s="98">
        <f t="shared" si="57"/>
        <v>1.396312444131883</v>
      </c>
      <c r="AO28" s="98">
        <f t="shared" si="58"/>
        <v>0.77249426997122572</v>
      </c>
      <c r="AP28" s="168" t="str">
        <f t="shared" si="59"/>
        <v>-26.2219338931473+26.9281589455614i</v>
      </c>
      <c r="AQ28" s="98">
        <f t="shared" si="60"/>
        <v>31.500547290138016</v>
      </c>
      <c r="AR28" s="169">
        <f t="shared" si="61"/>
        <v>134.23873446622639</v>
      </c>
      <c r="AS28" s="168" t="str">
        <f t="shared" si="62"/>
        <v>254.186205883051+253.901926459274i</v>
      </c>
      <c r="AT28" s="190">
        <f t="shared" si="63"/>
        <v>51.108482423009825</v>
      </c>
      <c r="AU28" s="169">
        <f t="shared" si="64"/>
        <v>44.967942550812808</v>
      </c>
      <c r="AV28" s="225"/>
      <c r="AX28">
        <f t="shared" si="65"/>
        <v>0</v>
      </c>
      <c r="AY28">
        <f t="shared" si="66"/>
        <v>0</v>
      </c>
    </row>
    <row r="29" spans="1:51" x14ac:dyDescent="0.2">
      <c r="A29" s="98" t="s">
        <v>144</v>
      </c>
      <c r="B29" s="207">
        <f>Isl</f>
        <v>2.9999999999999997E-5</v>
      </c>
      <c r="C29" s="206" t="s">
        <v>11</v>
      </c>
      <c r="E29" s="98" t="s">
        <v>213</v>
      </c>
      <c r="N29" s="170">
        <v>11</v>
      </c>
      <c r="O29" s="199">
        <f t="shared" si="41"/>
        <v>12.882495516931346</v>
      </c>
      <c r="P29" s="189" t="str">
        <f t="shared" si="32"/>
        <v>771.276595744681</v>
      </c>
      <c r="Q29" s="160" t="str">
        <f t="shared" si="33"/>
        <v>1+82.5619686828257i</v>
      </c>
      <c r="R29" s="160">
        <f t="shared" si="42"/>
        <v>82.568024517871862</v>
      </c>
      <c r="S29" s="160">
        <f t="shared" si="43"/>
        <v>1.5586848047569319</v>
      </c>
      <c r="T29" s="160" t="str">
        <f t="shared" si="34"/>
        <v>1+0.0000194263455724296i</v>
      </c>
      <c r="U29" s="160">
        <f t="shared" si="44"/>
        <v>1.0000000001886913</v>
      </c>
      <c r="V29" s="160">
        <f t="shared" si="45"/>
        <v>1.9426345569985875E-5</v>
      </c>
      <c r="W29" s="98" t="str">
        <f t="shared" si="35"/>
        <v>1-0.000055041312455217i</v>
      </c>
      <c r="X29" s="160">
        <f t="shared" si="46"/>
        <v>1.000000001514773</v>
      </c>
      <c r="Y29" s="160">
        <f t="shared" si="47"/>
        <v>-5.5041312399633598E-5</v>
      </c>
      <c r="Z29" s="98" t="str">
        <f t="shared" si="36"/>
        <v>0.999999933616524-0.000376857529166113i</v>
      </c>
      <c r="AA29" s="160">
        <f t="shared" si="48"/>
        <v>1.000000004627325</v>
      </c>
      <c r="AB29" s="160">
        <f t="shared" si="49"/>
        <v>-3.7685753634258929E-4</v>
      </c>
      <c r="AC29" s="171" t="str">
        <f t="shared" si="50"/>
        <v>0.116319576408208-9.34038082315443i</v>
      </c>
      <c r="AD29" s="190">
        <f t="shared" si="51"/>
        <v>19.407965153968085</v>
      </c>
      <c r="AE29" s="169">
        <f t="shared" si="52"/>
        <v>-89.286509144721649</v>
      </c>
      <c r="AF29" s="98" t="str">
        <f t="shared" si="37"/>
        <v>-0.0000119284294234592</v>
      </c>
      <c r="AG29" s="98" t="str">
        <f t="shared" si="38"/>
        <v>4.53459471524437E-07i</v>
      </c>
      <c r="AH29" s="98">
        <f t="shared" si="53"/>
        <v>4.5345947152443698E-7</v>
      </c>
      <c r="AI29" s="98">
        <f t="shared" si="54"/>
        <v>1.5707963267948966</v>
      </c>
      <c r="AJ29" s="98" t="str">
        <f t="shared" si="39"/>
        <v>1+0.000391610788615135i</v>
      </c>
      <c r="AK29" s="98">
        <f t="shared" si="55"/>
        <v>1.0000000766795019</v>
      </c>
      <c r="AL29" s="98">
        <f t="shared" si="56"/>
        <v>3.9161076859612259E-4</v>
      </c>
      <c r="AM29" s="98" t="str">
        <f t="shared" si="40"/>
        <v>1+0.997219072718051i</v>
      </c>
      <c r="AN29" s="98">
        <f t="shared" si="57"/>
        <v>1.4122485188495153</v>
      </c>
      <c r="AO29" s="98">
        <f t="shared" si="58"/>
        <v>0.78400576457513627</v>
      </c>
      <c r="AP29" s="168" t="str">
        <f t="shared" si="59"/>
        <v>-26.2219337121559+26.3156613851281i</v>
      </c>
      <c r="AQ29" s="98">
        <f t="shared" si="60"/>
        <v>31.399117648060336</v>
      </c>
      <c r="AR29" s="169">
        <f t="shared" si="61"/>
        <v>134.89778377983009</v>
      </c>
      <c r="AS29" s="168" t="str">
        <f t="shared" si="62"/>
        <v>242.748174728274+247.983873376268i</v>
      </c>
      <c r="AT29" s="190">
        <f t="shared" si="63"/>
        <v>50.807082802028432</v>
      </c>
      <c r="AU29" s="169">
        <f t="shared" si="64"/>
        <v>45.611274635108515</v>
      </c>
      <c r="AV29" s="225"/>
      <c r="AX29">
        <f t="shared" si="65"/>
        <v>0</v>
      </c>
      <c r="AY29">
        <f t="shared" si="66"/>
        <v>0</v>
      </c>
    </row>
    <row r="30" spans="1:51" x14ac:dyDescent="0.2">
      <c r="C30" s="206"/>
      <c r="N30" s="170">
        <v>12</v>
      </c>
      <c r="O30" s="199">
        <f t="shared" si="41"/>
        <v>13.182567385564075</v>
      </c>
      <c r="P30" s="189" t="str">
        <f t="shared" si="32"/>
        <v>771.276595744681</v>
      </c>
      <c r="Q30" s="160" t="str">
        <f t="shared" si="33"/>
        <v>1+84.4850839820386i</v>
      </c>
      <c r="R30" s="160">
        <f t="shared" si="42"/>
        <v>84.491001979217387</v>
      </c>
      <c r="S30" s="160">
        <f t="shared" si="43"/>
        <v>1.558960470610556</v>
      </c>
      <c r="T30" s="160" t="str">
        <f t="shared" si="34"/>
        <v>1+0.0000198788432898914i</v>
      </c>
      <c r="U30" s="160">
        <f t="shared" si="44"/>
        <v>1.0000000001975842</v>
      </c>
      <c r="V30" s="160">
        <f t="shared" si="45"/>
        <v>1.9878843287272902E-5</v>
      </c>
      <c r="W30" s="98" t="str">
        <f t="shared" si="35"/>
        <v>1-0.000056323389321359i</v>
      </c>
      <c r="X30" s="160">
        <f t="shared" si="46"/>
        <v>1.0000000015861621</v>
      </c>
      <c r="Y30" s="160">
        <f t="shared" si="47"/>
        <v>-5.632338926180032E-5</v>
      </c>
      <c r="Z30" s="98" t="str">
        <f t="shared" si="36"/>
        <v>0.999999930487967-0.000385635668683924i</v>
      </c>
      <c r="AA30" s="160">
        <f t="shared" si="48"/>
        <v>1.0000000048454041</v>
      </c>
      <c r="AB30" s="160">
        <f t="shared" si="49"/>
        <v>-3.8563567637365696E-4</v>
      </c>
      <c r="AC30" s="171" t="str">
        <f t="shared" si="50"/>
        <v>0.111228521401571-9.12782803178904i</v>
      </c>
      <c r="AD30" s="190">
        <f t="shared" si="51"/>
        <v>19.207993823980882</v>
      </c>
      <c r="AE30" s="169">
        <f t="shared" si="52"/>
        <v>-89.301848215698186</v>
      </c>
      <c r="AF30" s="98" t="str">
        <f t="shared" si="37"/>
        <v>-0.0000119284294234592</v>
      </c>
      <c r="AG30" s="98" t="str">
        <f t="shared" si="38"/>
        <v>4.64021899494291E-07i</v>
      </c>
      <c r="AH30" s="98">
        <f t="shared" si="53"/>
        <v>4.64021899494291E-7</v>
      </c>
      <c r="AI30" s="98">
        <f t="shared" si="54"/>
        <v>1.5707963267948966</v>
      </c>
      <c r="AJ30" s="98" t="str">
        <f t="shared" si="39"/>
        <v>1+0.000400732575691408i</v>
      </c>
      <c r="AK30" s="98">
        <f t="shared" si="55"/>
        <v>1.0000000802932953</v>
      </c>
      <c r="AL30" s="98">
        <f t="shared" si="56"/>
        <v>4.0073255424064985E-4</v>
      </c>
      <c r="AM30" s="98" t="str">
        <f t="shared" si="40"/>
        <v>1+1.02044728888109i</v>
      </c>
      <c r="AN30" s="98">
        <f t="shared" si="57"/>
        <v>1.4287451380091436</v>
      </c>
      <c r="AO30" s="98">
        <f t="shared" si="58"/>
        <v>0.79551799724784966</v>
      </c>
      <c r="AP30" s="168" t="str">
        <f t="shared" si="59"/>
        <v>-26.2219335226345+25.7171167366834i</v>
      </c>
      <c r="AQ30" s="98">
        <f t="shared" si="60"/>
        <v>31.299990368373365</v>
      </c>
      <c r="AR30" s="169">
        <f t="shared" si="61"/>
        <v>135.55686348493006</v>
      </c>
      <c r="AS30" s="168" t="str">
        <f t="shared" si="62"/>
        <v>231.824792151877+242.209776724945i</v>
      </c>
      <c r="AT30" s="190">
        <f t="shared" si="63"/>
        <v>50.507984192354257</v>
      </c>
      <c r="AU30" s="169">
        <f t="shared" si="64"/>
        <v>46.255015269231897</v>
      </c>
      <c r="AV30" s="225"/>
      <c r="AX30">
        <f t="shared" si="65"/>
        <v>0</v>
      </c>
      <c r="AY30">
        <f t="shared" si="66"/>
        <v>0</v>
      </c>
    </row>
    <row r="31" spans="1:51" x14ac:dyDescent="0.2">
      <c r="A31" s="98" t="s">
        <v>236</v>
      </c>
      <c r="B31" s="207">
        <f>Gcomp</f>
        <v>0.14499999999999999</v>
      </c>
      <c r="C31" s="206"/>
      <c r="E31" s="98" t="s">
        <v>237</v>
      </c>
      <c r="N31" s="170">
        <v>13</v>
      </c>
      <c r="O31" s="199">
        <f t="shared" si="41"/>
        <v>13.489628825916535</v>
      </c>
      <c r="P31" s="189" t="str">
        <f t="shared" si="32"/>
        <v>771.276595744681</v>
      </c>
      <c r="Q31" s="160" t="str">
        <f t="shared" si="33"/>
        <v>1+86.4529943910711i</v>
      </c>
      <c r="R31" s="160">
        <f t="shared" si="42"/>
        <v>86.45877768730351</v>
      </c>
      <c r="S31" s="160">
        <f t="shared" si="43"/>
        <v>1.5592298632815618</v>
      </c>
      <c r="T31" s="160" t="str">
        <f t="shared" si="34"/>
        <v>1+0.0000203418810331932i</v>
      </c>
      <c r="U31" s="160">
        <f t="shared" si="44"/>
        <v>1.0000000002068961</v>
      </c>
      <c r="V31" s="160">
        <f t="shared" si="45"/>
        <v>2.0341881030387429E-5</v>
      </c>
      <c r="W31" s="98" t="str">
        <f t="shared" si="35"/>
        <v>1-0.0000576353295940473i</v>
      </c>
      <c r="X31" s="160">
        <f t="shared" si="46"/>
        <v>1.0000000016609156</v>
      </c>
      <c r="Y31" s="160">
        <f t="shared" si="47"/>
        <v>-5.7635329530229018E-5</v>
      </c>
      <c r="Z31" s="98" t="str">
        <f t="shared" si="36"/>
        <v>0.999999927211966-0.000394618277337762i</v>
      </c>
      <c r="AA31" s="160">
        <f t="shared" si="48"/>
        <v>1.000000005073761</v>
      </c>
      <c r="AB31" s="160">
        <f t="shared" si="49"/>
        <v>-3.946182855774592E-4</v>
      </c>
      <c r="AC31" s="171" t="str">
        <f t="shared" si="50"/>
        <v>0.106366538864458-8.92010951067869i</v>
      </c>
      <c r="AD31" s="190">
        <f t="shared" si="51"/>
        <v>19.008021203696956</v>
      </c>
      <c r="AE31" s="169">
        <f t="shared" si="52"/>
        <v>-89.316817251714113</v>
      </c>
      <c r="AF31" s="98" t="str">
        <f t="shared" si="37"/>
        <v>-0.0000119284294234592</v>
      </c>
      <c r="AG31" s="98" t="str">
        <f t="shared" si="38"/>
        <v>4.74830358017312E-07i</v>
      </c>
      <c r="AH31" s="98">
        <f t="shared" si="53"/>
        <v>4.7483035801731198E-7</v>
      </c>
      <c r="AI31" s="98">
        <f t="shared" si="54"/>
        <v>1.5707963267948966</v>
      </c>
      <c r="AJ31" s="98" t="str">
        <f t="shared" si="39"/>
        <v>1+0.000410066836483634i</v>
      </c>
      <c r="AK31" s="98">
        <f t="shared" si="55"/>
        <v>1.0000000840774017</v>
      </c>
      <c r="AL31" s="98">
        <f t="shared" si="56"/>
        <v>4.1006681349873257E-4</v>
      </c>
      <c r="AM31" s="98" t="str">
        <f t="shared" si="40"/>
        <v>1+1.04421655970392i</v>
      </c>
      <c r="AN31" s="98">
        <f t="shared" si="57"/>
        <v>1.4458174931712131</v>
      </c>
      <c r="AO31" s="98">
        <f t="shared" si="58"/>
        <v>0.80702486713705901</v>
      </c>
      <c r="AP31" s="168" t="str">
        <f t="shared" si="59"/>
        <v>-26.2219333241815+25.1322076439316i</v>
      </c>
      <c r="AQ31" s="98">
        <f t="shared" si="60"/>
        <v>31.203164526082439</v>
      </c>
      <c r="AR31" s="169">
        <f t="shared" si="61"/>
        <v>136.21562375132751</v>
      </c>
      <c r="AS31" s="168" t="str">
        <f t="shared" si="62"/>
        <v>221.392908138958+236.575742774522i</v>
      </c>
      <c r="AT31" s="190">
        <f t="shared" si="63"/>
        <v>50.211185729779402</v>
      </c>
      <c r="AU31" s="169">
        <f t="shared" si="64"/>
        <v>46.898806499613478</v>
      </c>
      <c r="AV31" s="225"/>
      <c r="AX31">
        <f t="shared" si="65"/>
        <v>0</v>
      </c>
      <c r="AY31">
        <f t="shared" si="66"/>
        <v>0</v>
      </c>
    </row>
    <row r="32" spans="1:51" x14ac:dyDescent="0.2">
      <c r="N32" s="170">
        <v>14</v>
      </c>
      <c r="O32" s="199">
        <f t="shared" si="41"/>
        <v>13.803842646028857</v>
      </c>
      <c r="P32" s="189" t="str">
        <f t="shared" si="32"/>
        <v>771.276595744681</v>
      </c>
      <c r="Q32" s="160" t="str">
        <f t="shared" si="33"/>
        <v>1+88.4667433220705i</v>
      </c>
      <c r="R32" s="160">
        <f t="shared" si="42"/>
        <v>88.472394982916029</v>
      </c>
      <c r="S32" s="160">
        <f t="shared" si="43"/>
        <v>1.5594931254490161</v>
      </c>
      <c r="T32" s="160" t="str">
        <f t="shared" si="34"/>
        <v>1+0.0000208157043110754i</v>
      </c>
      <c r="U32" s="160">
        <f t="shared" si="44"/>
        <v>1.0000000002166467</v>
      </c>
      <c r="V32" s="160">
        <f t="shared" si="45"/>
        <v>2.0815704308068962E-5</v>
      </c>
      <c r="W32" s="98" t="str">
        <f t="shared" si="35"/>
        <v>1-0.0000589778288813802i</v>
      </c>
      <c r="X32" s="160">
        <f t="shared" si="46"/>
        <v>1.0000000017391921</v>
      </c>
      <c r="Y32" s="160">
        <f t="shared" si="47"/>
        <v>-5.8977828812997686E-5</v>
      </c>
      <c r="Z32" s="98" t="str">
        <f t="shared" si="36"/>
        <v>0.999999923781571-0.000403810117825635i</v>
      </c>
      <c r="AA32" s="160">
        <f t="shared" si="48"/>
        <v>1.0000000053128797</v>
      </c>
      <c r="AB32" s="160">
        <f t="shared" si="49"/>
        <v>-4.0381012665462982E-4</v>
      </c>
      <c r="AC32" s="171" t="str">
        <f t="shared" si="50"/>
        <v>0.101723324357705-8.71711548671283i</v>
      </c>
      <c r="AD32" s="190">
        <f t="shared" si="51"/>
        <v>18.808047351168486</v>
      </c>
      <c r="AE32" s="169">
        <f t="shared" si="52"/>
        <v>-89.33142418058388</v>
      </c>
      <c r="AF32" s="98" t="str">
        <f t="shared" si="37"/>
        <v>-0.0000119284294234592</v>
      </c>
      <c r="AG32" s="98" t="str">
        <f t="shared" si="38"/>
        <v>4.85890577881277E-07i</v>
      </c>
      <c r="AH32" s="98">
        <f t="shared" si="53"/>
        <v>4.85890577881277E-7</v>
      </c>
      <c r="AI32" s="98">
        <f t="shared" si="54"/>
        <v>1.5707963267948966</v>
      </c>
      <c r="AJ32" s="98" t="str">
        <f t="shared" si="39"/>
        <v>1+0.000419618520140441i</v>
      </c>
      <c r="AK32" s="98">
        <f t="shared" si="55"/>
        <v>1.0000000880398474</v>
      </c>
      <c r="AL32" s="98">
        <f t="shared" si="56"/>
        <v>4.1961849551167555E-4</v>
      </c>
      <c r="AM32" s="98" t="str">
        <f t="shared" si="40"/>
        <v>1+1.06853948796854i</v>
      </c>
      <c r="AN32" s="98">
        <f t="shared" si="57"/>
        <v>1.4634809999955822</v>
      </c>
      <c r="AO32" s="98">
        <f t="shared" si="58"/>
        <v>0.8185202875877633</v>
      </c>
      <c r="AP32" s="168" t="str">
        <f t="shared" si="59"/>
        <v>-26.2219331163755+24.5606239803289i</v>
      </c>
      <c r="AQ32" s="98">
        <f t="shared" si="60"/>
        <v>31.108636760293152</v>
      </c>
      <c r="AR32" s="169">
        <f t="shared" si="61"/>
        <v>136.87371555581473</v>
      </c>
      <c r="AS32" s="168" t="str">
        <f t="shared" si="62"/>
        <v>211.430413454572+231.078007579883i</v>
      </c>
      <c r="AT32" s="190">
        <f t="shared" si="63"/>
        <v>49.91668411146162</v>
      </c>
      <c r="AU32" s="169">
        <f t="shared" si="64"/>
        <v>47.542291375230839</v>
      </c>
      <c r="AV32" s="225"/>
      <c r="AX32">
        <f t="shared" si="65"/>
        <v>0</v>
      </c>
      <c r="AY32">
        <f t="shared" si="66"/>
        <v>0</v>
      </c>
    </row>
    <row r="33" spans="1:51" x14ac:dyDescent="0.2">
      <c r="N33" s="170">
        <v>15</v>
      </c>
      <c r="O33" s="199">
        <f t="shared" si="41"/>
        <v>14.125375446227544</v>
      </c>
      <c r="P33" s="189" t="str">
        <f t="shared" si="32"/>
        <v>771.276595744681</v>
      </c>
      <c r="Q33" s="160" t="str">
        <f t="shared" si="33"/>
        <v>1+90.5273984913749i</v>
      </c>
      <c r="R33" s="160">
        <f t="shared" si="42"/>
        <v>90.53292151265299</v>
      </c>
      <c r="S33" s="160">
        <f t="shared" si="43"/>
        <v>1.5597503965519532</v>
      </c>
      <c r="T33" s="160" t="str">
        <f t="shared" si="34"/>
        <v>1+0.0000213005643509117i</v>
      </c>
      <c r="U33" s="160">
        <f t="shared" si="44"/>
        <v>1.000000000226857</v>
      </c>
      <c r="V33" s="160">
        <f t="shared" si="45"/>
        <v>2.1300564347690246E-5</v>
      </c>
      <c r="W33" s="98" t="str">
        <f t="shared" si="35"/>
        <v>1-0.0000603515989942498i</v>
      </c>
      <c r="X33" s="160">
        <f t="shared" si="46"/>
        <v>1.0000000018211577</v>
      </c>
      <c r="Y33" s="160">
        <f t="shared" si="47"/>
        <v>-6.0351598920976614E-5</v>
      </c>
      <c r="Z33" s="98" t="str">
        <f t="shared" si="36"/>
        <v>0.999999920189507-0.000413216063783038i</v>
      </c>
      <c r="AA33" s="160">
        <f t="shared" si="48"/>
        <v>1.0000000055632678</v>
      </c>
      <c r="AB33" s="160">
        <f t="shared" si="49"/>
        <v>-4.1321607324347644E-4</v>
      </c>
      <c r="AC33" s="171" t="str">
        <f t="shared" si="50"/>
        <v>0.0972890367327156-8.51873866762041i</v>
      </c>
      <c r="AD33" s="190">
        <f t="shared" si="51"/>
        <v>18.608072321836012</v>
      </c>
      <c r="AE33" s="169">
        <f t="shared" si="52"/>
        <v>-89.345676738726283</v>
      </c>
      <c r="AF33" s="98" t="str">
        <f t="shared" si="37"/>
        <v>-0.0000119284294234592</v>
      </c>
      <c r="AG33" s="98" t="str">
        <f t="shared" si="38"/>
        <v>4.97208423361157E-07i</v>
      </c>
      <c r="AH33" s="98">
        <f t="shared" si="53"/>
        <v>4.97208423361157E-7</v>
      </c>
      <c r="AI33" s="98">
        <f t="shared" si="54"/>
        <v>1.5707963267948966</v>
      </c>
      <c r="AJ33" s="98" t="str">
        <f t="shared" si="39"/>
        <v>1+0.000429392691090934i</v>
      </c>
      <c r="AK33" s="98">
        <f t="shared" si="55"/>
        <v>1.0000000921890373</v>
      </c>
      <c r="AL33" s="98">
        <f t="shared" si="56"/>
        <v>4.2939266470073647E-4</v>
      </c>
      <c r="AM33" s="98" t="str">
        <f t="shared" si="40"/>
        <v>1+1.09342897001347i</v>
      </c>
      <c r="AN33" s="98">
        <f t="shared" si="57"/>
        <v>1.4817512991270561</v>
      </c>
      <c r="AO33" s="98">
        <f t="shared" si="58"/>
        <v>0.8299982022029061</v>
      </c>
      <c r="AP33" s="168" t="str">
        <f t="shared" si="59"/>
        <v>-26.2219328987759+24.0020626846508i</v>
      </c>
      <c r="AQ33" s="98">
        <f t="shared" si="60"/>
        <v>31.016401288425854</v>
      </c>
      <c r="AR33" s="169">
        <f t="shared" si="61"/>
        <v>137.53079160223106</v>
      </c>
      <c r="AS33" s="168" t="str">
        <f t="shared" si="62"/>
        <v>201.916192901392+225.712931282738i</v>
      </c>
      <c r="AT33" s="190">
        <f t="shared" si="63"/>
        <v>49.624473610261866</v>
      </c>
      <c r="AU33" s="169">
        <f t="shared" si="64"/>
        <v>48.185114863504793</v>
      </c>
      <c r="AV33" s="225"/>
      <c r="AX33">
        <f t="shared" si="65"/>
        <v>0</v>
      </c>
      <c r="AY33">
        <f t="shared" si="66"/>
        <v>0</v>
      </c>
    </row>
    <row r="34" spans="1:51" x14ac:dyDescent="0.2">
      <c r="N34" s="170">
        <v>16</v>
      </c>
      <c r="O34" s="199">
        <f t="shared" si="41"/>
        <v>14.454397707459275</v>
      </c>
      <c r="P34" s="189" t="str">
        <f t="shared" si="32"/>
        <v>771.276595744681</v>
      </c>
      <c r="Q34" s="160" t="str">
        <f t="shared" si="33"/>
        <v>1+92.6360524856312i</v>
      </c>
      <c r="R34" s="160">
        <f t="shared" si="42"/>
        <v>92.641449795006011</v>
      </c>
      <c r="S34" s="160">
        <f t="shared" si="43"/>
        <v>1.5600018128626127</v>
      </c>
      <c r="T34" s="160" t="str">
        <f t="shared" si="34"/>
        <v>1+0.0000217967182319132i</v>
      </c>
      <c r="U34" s="160">
        <f t="shared" si="44"/>
        <v>1.0000000002375484</v>
      </c>
      <c r="V34" s="160">
        <f t="shared" si="45"/>
        <v>2.1796718228461347E-5</v>
      </c>
      <c r="W34" s="98" t="str">
        <f t="shared" si="35"/>
        <v>1-0.000061757368323754i</v>
      </c>
      <c r="X34" s="160">
        <f t="shared" si="46"/>
        <v>1.0000000019069861</v>
      </c>
      <c r="Y34" s="160">
        <f t="shared" si="47"/>
        <v>-6.1757368245240357E-5</v>
      </c>
      <c r="Z34" s="98" t="str">
        <f t="shared" si="36"/>
        <v>0.999999916428155-0.00042284110236702i</v>
      </c>
      <c r="AA34" s="160">
        <f t="shared" si="48"/>
        <v>1.0000000058254574</v>
      </c>
      <c r="AB34" s="160">
        <f t="shared" si="49"/>
        <v>-4.2284111250406214E-4</v>
      </c>
      <c r="AC34" s="171" t="str">
        <f t="shared" si="50"/>
        <v>0.0930542773226669-8.3248741866929i</v>
      </c>
      <c r="AD34" s="190">
        <f t="shared" si="51"/>
        <v>18.408096168645798</v>
      </c>
      <c r="AE34" s="169">
        <f t="shared" si="52"/>
        <v>-89.359582475226418</v>
      </c>
      <c r="AF34" s="98" t="str">
        <f t="shared" si="37"/>
        <v>-0.0000119284294234592</v>
      </c>
      <c r="AG34" s="98" t="str">
        <f t="shared" si="38"/>
        <v>5.08789895328434E-07i</v>
      </c>
      <c r="AH34" s="98">
        <f t="shared" si="53"/>
        <v>5.0878989532843404E-7</v>
      </c>
      <c r="AI34" s="98">
        <f t="shared" si="54"/>
        <v>1.5707963267948966</v>
      </c>
      <c r="AJ34" s="98" t="str">
        <f t="shared" si="39"/>
        <v>1+0.000439394531729927i</v>
      </c>
      <c r="AK34" s="98">
        <f t="shared" si="55"/>
        <v>1.0000000965337728</v>
      </c>
      <c r="AL34" s="98">
        <f t="shared" si="56"/>
        <v>4.3939450345232103E-4</v>
      </c>
      <c r="AM34" s="98" t="str">
        <f t="shared" si="40"/>
        <v>1+1.11889820257154i</v>
      </c>
      <c r="AN34" s="98">
        <f t="shared" si="57"/>
        <v>1.5006442575500105</v>
      </c>
      <c r="AO34" s="98">
        <f t="shared" si="58"/>
        <v>0.84145260070928041</v>
      </c>
      <c r="AP34" s="168" t="str">
        <f t="shared" si="59"/>
        <v>-26.2219326709211+23.4562276003041i</v>
      </c>
      <c r="AQ34" s="98">
        <f t="shared" si="60"/>
        <v>30.926449930599023</v>
      </c>
      <c r="AR34" s="169">
        <f t="shared" si="61"/>
        <v>138.1865072303595</v>
      </c>
      <c r="AS34" s="168" t="str">
        <f t="shared" si="62"/>
        <v>192.830080672269+220.476992725413i</v>
      </c>
      <c r="AT34" s="190">
        <f t="shared" si="63"/>
        <v>49.334546099244825</v>
      </c>
      <c r="AU34" s="169">
        <f t="shared" si="64"/>
        <v>48.826924755133128</v>
      </c>
      <c r="AV34" s="225"/>
      <c r="AX34">
        <f t="shared" si="65"/>
        <v>0</v>
      </c>
      <c r="AY34">
        <f t="shared" si="66"/>
        <v>0</v>
      </c>
    </row>
    <row r="35" spans="1:51" x14ac:dyDescent="0.2">
      <c r="A35" s="98" t="s">
        <v>235</v>
      </c>
      <c r="B35" s="208">
        <f>IF(Dc_Mode_Loop="CCM",(Gcomp*(VIN_var/VOUT)*(VOUT/IOUT))/(2*R_cs*Acs),K35*K37)</f>
        <v>771.27659574468066</v>
      </c>
      <c r="C35" s="98" t="s">
        <v>180</v>
      </c>
      <c r="E35" s="98" t="s">
        <v>239</v>
      </c>
      <c r="J35" s="98" t="s">
        <v>546</v>
      </c>
      <c r="K35" s="98">
        <f>Fsw/((1+B45/B46)*B46)</f>
        <v>3.6364958725771848</v>
      </c>
      <c r="N35" s="170">
        <v>17</v>
      </c>
      <c r="O35" s="199">
        <f t="shared" si="41"/>
        <v>14.791083881682074</v>
      </c>
      <c r="P35" s="189" t="str">
        <f t="shared" si="32"/>
        <v>771.276595744681</v>
      </c>
      <c r="Q35" s="160" t="str">
        <f t="shared" si="33"/>
        <v>1+94.7938233410985i</v>
      </c>
      <c r="R35" s="160">
        <f t="shared" si="42"/>
        <v>94.799097799627788</v>
      </c>
      <c r="S35" s="160">
        <f t="shared" si="43"/>
        <v>1.5602475075580404</v>
      </c>
      <c r="T35" s="160" t="str">
        <f t="shared" si="34"/>
        <v>1+0.0000223044290214349i</v>
      </c>
      <c r="U35" s="160">
        <f t="shared" si="44"/>
        <v>1.0000000002487437</v>
      </c>
      <c r="V35" s="160">
        <f t="shared" si="45"/>
        <v>2.2304429017736174E-5</v>
      </c>
      <c r="W35" s="98" t="str">
        <f t="shared" si="35"/>
        <v>1-0.0000631958822273989i</v>
      </c>
      <c r="X35" s="160">
        <f t="shared" si="46"/>
        <v>1.0000000019968598</v>
      </c>
      <c r="Y35" s="160">
        <f t="shared" si="47"/>
        <v>-6.3195882143270033E-5</v>
      </c>
      <c r="Z35" s="98" t="str">
        <f t="shared" si="36"/>
        <v>0.999999912489535-0.00043269033690044i</v>
      </c>
      <c r="AA35" s="160">
        <f t="shared" si="48"/>
        <v>1.0000000061000027</v>
      </c>
      <c r="AB35" s="160">
        <f t="shared" si="49"/>
        <v>-4.3269034776247643E-4</v>
      </c>
      <c r="AC35" s="171" t="str">
        <f t="shared" si="50"/>
        <v>0.0890100700664967-8.13541954868611i</v>
      </c>
      <c r="AD35" s="190">
        <f t="shared" si="51"/>
        <v>18.208118942161992</v>
      </c>
      <c r="AE35" s="169">
        <f t="shared" si="52"/>
        <v>-89.373148755801139</v>
      </c>
      <c r="AF35" s="98" t="str">
        <f t="shared" si="37"/>
        <v>-0.0000119284294234592</v>
      </c>
      <c r="AG35" s="98" t="str">
        <f t="shared" si="38"/>
        <v>5.20641134432845E-07i</v>
      </c>
      <c r="AH35" s="98">
        <f t="shared" si="53"/>
        <v>5.2064113443284503E-7</v>
      </c>
      <c r="AI35" s="98">
        <f t="shared" si="54"/>
        <v>1.5707963267948966</v>
      </c>
      <c r="AJ35" s="98" t="str">
        <f t="shared" si="39"/>
        <v>1+0.000449629345165718i</v>
      </c>
      <c r="AK35" s="98">
        <f t="shared" si="55"/>
        <v>1.0000001010832689</v>
      </c>
      <c r="AL35" s="98">
        <f t="shared" si="56"/>
        <v>4.4962931486571748E-4</v>
      </c>
      <c r="AM35" s="98" t="str">
        <f t="shared" si="40"/>
        <v>1+1.14496068976699i</v>
      </c>
      <c r="AN35" s="98">
        <f t="shared" si="57"/>
        <v>1.5201759704427975</v>
      </c>
      <c r="AO35" s="98">
        <f t="shared" si="58"/>
        <v>0.85287753452796156</v>
      </c>
      <c r="AP35" s="168" t="str">
        <f t="shared" si="59"/>
        <v>-26.2219324323281+22.9228293183015i</v>
      </c>
      <c r="AQ35" s="98">
        <f t="shared" si="60"/>
        <v>30.838772143964697</v>
      </c>
      <c r="AR35" s="169">
        <f t="shared" si="61"/>
        <v>138.84052130788825</v>
      </c>
      <c r="AS35" s="168" t="str">
        <f t="shared" si="62"/>
        <v>184.152817704225+215.366784358033i</v>
      </c>
      <c r="AT35" s="190">
        <f t="shared" si="63"/>
        <v>49.046891086126706</v>
      </c>
      <c r="AU35" s="169">
        <f t="shared" si="64"/>
        <v>49.467372552087106</v>
      </c>
      <c r="AV35" s="225"/>
      <c r="AX35">
        <f t="shared" si="65"/>
        <v>0</v>
      </c>
      <c r="AY35">
        <f t="shared" si="66"/>
        <v>0</v>
      </c>
    </row>
    <row r="36" spans="1:51" x14ac:dyDescent="0.2">
      <c r="A36" s="98" t="s">
        <v>252</v>
      </c>
      <c r="B36" s="209">
        <f>IF(Dc_Mode_Loop="CCM",2/(Cout*(VOUT/IOUT)),(2*B20/B17-1)/(Cout*(VOUT/IOUT)*(B20/B17-1)))</f>
        <v>0.98039215686274506</v>
      </c>
      <c r="C36" s="98" t="s">
        <v>251</v>
      </c>
      <c r="E36" s="98" t="s">
        <v>242</v>
      </c>
      <c r="J36" s="98" t="s">
        <v>547</v>
      </c>
      <c r="K36" s="98">
        <f>(1+SQRT(1+2*(Dc_DCM_VIN_nom^2)/K38))/2</f>
        <v>34</v>
      </c>
      <c r="N36" s="170">
        <v>18</v>
      </c>
      <c r="O36" s="199">
        <f t="shared" si="41"/>
        <v>15.135612484362087</v>
      </c>
      <c r="P36" s="189" t="str">
        <f t="shared" si="32"/>
        <v>771.276595744681</v>
      </c>
      <c r="Q36" s="160" t="str">
        <f t="shared" si="33"/>
        <v>1+97.001855136446i</v>
      </c>
      <c r="R36" s="160">
        <f t="shared" si="42"/>
        <v>97.007009540094856</v>
      </c>
      <c r="S36" s="160">
        <f t="shared" si="43"/>
        <v>1.5604876107900956</v>
      </c>
      <c r="T36" s="160" t="str">
        <f t="shared" si="34"/>
        <v>1+0.0000228239659144579i</v>
      </c>
      <c r="U36" s="160">
        <f t="shared" si="44"/>
        <v>1.0000000002604668</v>
      </c>
      <c r="V36" s="160">
        <f t="shared" si="45"/>
        <v>2.2823965910494642E-5</v>
      </c>
      <c r="W36" s="98" t="str">
        <f t="shared" si="35"/>
        <v>1-0.0000646679034242972i</v>
      </c>
      <c r="X36" s="160">
        <f t="shared" si="46"/>
        <v>1.0000000020909687</v>
      </c>
      <c r="Y36" s="160">
        <f t="shared" si="47"/>
        <v>-6.4667903334151482E-5</v>
      </c>
      <c r="Z36" s="98" t="str">
        <f t="shared" si="36"/>
        <v>0.999999908365294-0.000442768989577819i</v>
      </c>
      <c r="AA36" s="160">
        <f t="shared" si="48"/>
        <v>1.0000000063874872</v>
      </c>
      <c r="AB36" s="160">
        <f t="shared" si="49"/>
        <v>-4.427690012167006E-4</v>
      </c>
      <c r="AC36" s="171" t="str">
        <f t="shared" si="50"/>
        <v>0.0851478425240406-7.9502745768791i</v>
      </c>
      <c r="AD36" s="190">
        <f t="shared" si="51"/>
        <v>18.00814069067378</v>
      </c>
      <c r="AE36" s="169">
        <f t="shared" si="52"/>
        <v>-89.386382766669584</v>
      </c>
      <c r="AF36" s="98" t="str">
        <f t="shared" si="37"/>
        <v>-0.0000119284294234592</v>
      </c>
      <c r="AG36" s="98" t="str">
        <f t="shared" si="38"/>
        <v>5.32768424358233E-07i</v>
      </c>
      <c r="AH36" s="98">
        <f t="shared" si="53"/>
        <v>5.3276842435823302E-7</v>
      </c>
      <c r="AI36" s="98">
        <f t="shared" si="54"/>
        <v>1.5707963267948966</v>
      </c>
      <c r="AJ36" s="98" t="str">
        <f t="shared" si="39"/>
        <v>1+0.000460102558031863i</v>
      </c>
      <c r="AK36" s="98">
        <f t="shared" si="55"/>
        <v>1.0000001058471764</v>
      </c>
      <c r="AL36" s="98">
        <f t="shared" si="56"/>
        <v>4.6010252556482765E-4</v>
      </c>
      <c r="AM36" s="98" t="str">
        <f t="shared" si="40"/>
        <v>1+1.1716302502755i</v>
      </c>
      <c r="AN36" s="98">
        <f t="shared" si="57"/>
        <v>1.5403627635594908</v>
      </c>
      <c r="AO36" s="98">
        <f t="shared" si="58"/>
        <v>0.86426713195194849</v>
      </c>
      <c r="AP36" s="168" t="str">
        <f t="shared" si="59"/>
        <v>-26.2219321824903+22.4015850238129i</v>
      </c>
      <c r="AQ36" s="98">
        <f t="shared" si="60"/>
        <v>30.753355066690077</v>
      </c>
      <c r="AR36" s="169">
        <f t="shared" si="61"/>
        <v>139.49249709986461</v>
      </c>
      <c r="AS36" s="168" t="str">
        <f t="shared" si="62"/>
        <v>175.866010944465+210.379007420997i</v>
      </c>
      <c r="AT36" s="190">
        <f t="shared" si="63"/>
        <v>48.761495757363861</v>
      </c>
      <c r="AU36" s="169">
        <f t="shared" si="64"/>
        <v>50.106114333194959</v>
      </c>
      <c r="AV36" s="225"/>
      <c r="AX36">
        <f t="shared" si="65"/>
        <v>0</v>
      </c>
      <c r="AY36">
        <f t="shared" si="66"/>
        <v>0</v>
      </c>
    </row>
    <row r="37" spans="1:51" x14ac:dyDescent="0.2">
      <c r="B37" s="210">
        <f>wp_lf/(2*PI())</f>
        <v>0.15603425793323072</v>
      </c>
      <c r="C37" s="98" t="s">
        <v>69</v>
      </c>
      <c r="J37" s="98" t="s">
        <v>548</v>
      </c>
      <c r="K37" s="98">
        <f>2*VOUT/Dc_DCM_VIN_nom*(K36-1)/(2*K36-1)</f>
        <v>460.92587480290177</v>
      </c>
      <c r="N37" s="170">
        <v>19</v>
      </c>
      <c r="O37" s="199">
        <f t="shared" si="41"/>
        <v>15.488166189124817</v>
      </c>
      <c r="P37" s="189" t="str">
        <f t="shared" si="32"/>
        <v>771.276595744681</v>
      </c>
      <c r="Q37" s="160" t="str">
        <f t="shared" si="33"/>
        <v>1+99.261318599358i</v>
      </c>
      <c r="R37" s="160">
        <f t="shared" si="42"/>
        <v>99.266355680478441</v>
      </c>
      <c r="S37" s="160">
        <f t="shared" si="43"/>
        <v>1.5607222497538913</v>
      </c>
      <c r="T37" s="160" t="str">
        <f t="shared" si="34"/>
        <v>1+0.0000233556043763195i</v>
      </c>
      <c r="U37" s="160">
        <f t="shared" si="44"/>
        <v>1.0000000002727421</v>
      </c>
      <c r="V37" s="160">
        <f t="shared" si="45"/>
        <v>2.3355604372072796E-5</v>
      </c>
      <c r="W37" s="98" t="str">
        <f t="shared" si="35"/>
        <v>1-0.0000661742123995719i</v>
      </c>
      <c r="X37" s="160">
        <f t="shared" si="46"/>
        <v>1.0000000021895132</v>
      </c>
      <c r="Y37" s="160">
        <f t="shared" si="47"/>
        <v>-6.6174212302979023E-5</v>
      </c>
      <c r="Z37" s="98" t="str">
        <f t="shared" si="36"/>
        <v>0.999999904046683-0.000453082404234213i</v>
      </c>
      <c r="AA37" s="160">
        <f t="shared" si="48"/>
        <v>1.0000000066885202</v>
      </c>
      <c r="AB37" s="160">
        <f t="shared" si="49"/>
        <v>-4.5308241670549942E-4</v>
      </c>
      <c r="AC37" s="171" t="str">
        <f t="shared" si="50"/>
        <v>0.081459407742505-7.76934136126881i</v>
      </c>
      <c r="AD37" s="190">
        <f t="shared" si="51"/>
        <v>17.808161460297619</v>
      </c>
      <c r="AE37" s="169">
        <f t="shared" si="52"/>
        <v>-89.399291518331012</v>
      </c>
      <c r="AF37" s="98" t="str">
        <f t="shared" si="37"/>
        <v>-0.0000119284294234592</v>
      </c>
      <c r="AG37" s="98" t="str">
        <f t="shared" si="38"/>
        <v>5.45178195154239E-07i</v>
      </c>
      <c r="AH37" s="98">
        <f t="shared" si="53"/>
        <v>5.4517819515423896E-7</v>
      </c>
      <c r="AI37" s="98">
        <f t="shared" si="54"/>
        <v>1.5707963267948966</v>
      </c>
      <c r="AJ37" s="98" t="str">
        <f t="shared" si="39"/>
        <v>1+0.000470819723364455i</v>
      </c>
      <c r="AK37" s="98">
        <f t="shared" si="55"/>
        <v>1.0000001108355998</v>
      </c>
      <c r="AL37" s="98">
        <f t="shared" si="56"/>
        <v>4.7081968857540007E-4</v>
      </c>
      <c r="AM37" s="98" t="str">
        <f t="shared" si="40"/>
        <v>1+1.19892102465107i</v>
      </c>
      <c r="AN37" s="98">
        <f t="shared" si="57"/>
        <v>1.5612211961635585</v>
      </c>
      <c r="AO37" s="98">
        <f t="shared" si="58"/>
        <v>0.87561561283841882</v>
      </c>
      <c r="AP37" s="168" t="str">
        <f t="shared" si="59"/>
        <v>-26.2219319208783+21.892218346213i</v>
      </c>
      <c r="AQ37" s="98">
        <f t="shared" si="60"/>
        <v>30.670183571199139</v>
      </c>
      <c r="AR37" s="169">
        <f t="shared" si="61"/>
        <v>140.1421031103356</v>
      </c>
      <c r="AS37" s="168" t="str">
        <f t="shared" si="62"/>
        <v>167.952094443022+205.510467385907i</v>
      </c>
      <c r="AT37" s="190">
        <f t="shared" si="63"/>
        <v>48.478345031496779</v>
      </c>
      <c r="AU37" s="169">
        <f t="shared" si="64"/>
        <v>50.742811592004543</v>
      </c>
      <c r="AV37" s="225"/>
      <c r="AX37">
        <f t="shared" si="65"/>
        <v>0</v>
      </c>
      <c r="AY37">
        <f t="shared" si="66"/>
        <v>0</v>
      </c>
    </row>
    <row r="38" spans="1:51" x14ac:dyDescent="0.2">
      <c r="B38" s="211"/>
      <c r="C38" s="98" t="s">
        <v>275</v>
      </c>
      <c r="E38" s="98" t="s">
        <v>274</v>
      </c>
      <c r="J38" s="98" t="s">
        <v>549</v>
      </c>
      <c r="K38" s="98">
        <f>(Lm*Fsw/(VOUT/IOUT))</f>
        <v>5.8823529411764701E-5</v>
      </c>
      <c r="N38" s="170">
        <v>20</v>
      </c>
      <c r="O38" s="199">
        <f t="shared" si="41"/>
        <v>15.848931924611136</v>
      </c>
      <c r="P38" s="189" t="str">
        <f t="shared" si="32"/>
        <v>771.276595744681</v>
      </c>
      <c r="Q38" s="160" t="str">
        <f t="shared" si="33"/>
        <v>1+101.57341172727i</v>
      </c>
      <c r="R38" s="160">
        <f t="shared" si="42"/>
        <v>101.57833415604684</v>
      </c>
      <c r="S38" s="160">
        <f t="shared" si="43"/>
        <v>1.5609515487547077</v>
      </c>
      <c r="T38" s="160" t="str">
        <f t="shared" si="34"/>
        <v>1+0.0000238996262887695i</v>
      </c>
      <c r="U38" s="160">
        <f t="shared" si="44"/>
        <v>1.000000000285596</v>
      </c>
      <c r="V38" s="160">
        <f t="shared" si="45"/>
        <v>2.3899626284219071E-5</v>
      </c>
      <c r="W38" s="98" t="str">
        <f t="shared" si="35"/>
        <v>1-0.0000677156078181801i</v>
      </c>
      <c r="X38" s="160">
        <f t="shared" si="46"/>
        <v>1.0000000022927018</v>
      </c>
      <c r="Y38" s="160">
        <f t="shared" si="47"/>
        <v>-6.7715607714678979E-5</v>
      </c>
      <c r="Z38" s="98" t="str">
        <f t="shared" si="36"/>
        <v>0.999999899524543-0.000463636049178586i</v>
      </c>
      <c r="AA38" s="160">
        <f t="shared" si="48"/>
        <v>1.0000000070037411</v>
      </c>
      <c r="AB38" s="160">
        <f t="shared" si="49"/>
        <v>-4.6363606254180991E-4</v>
      </c>
      <c r="AC38" s="171" t="str">
        <f t="shared" si="50"/>
        <v>0.0779369469362246-7.5925242078792i</v>
      </c>
      <c r="AD38" s="190">
        <f t="shared" si="51"/>
        <v>17.608181295074925</v>
      </c>
      <c r="AE38" s="169">
        <f t="shared" si="52"/>
        <v>-89.411881849251571</v>
      </c>
      <c r="AF38" s="98" t="str">
        <f t="shared" si="37"/>
        <v>-0.0000119284294234592</v>
      </c>
      <c r="AG38" s="98" t="str">
        <f t="shared" si="38"/>
        <v>5.57877026645602E-07i</v>
      </c>
      <c r="AH38" s="98">
        <f t="shared" si="53"/>
        <v>5.5787702664560203E-7</v>
      </c>
      <c r="AI38" s="98">
        <f t="shared" si="54"/>
        <v>1.5707963267948966</v>
      </c>
      <c r="AJ38" s="98" t="str">
        <f t="shared" si="39"/>
        <v>1+0.00048178652354641i</v>
      </c>
      <c r="AK38" s="98">
        <f t="shared" si="55"/>
        <v>1.0000001160591203</v>
      </c>
      <c r="AL38" s="98">
        <f t="shared" si="56"/>
        <v>4.8178648626926628E-4</v>
      </c>
      <c r="AM38" s="98" t="str">
        <f t="shared" si="40"/>
        <v>1+1.2268474828235i</v>
      </c>
      <c r="AN38" s="98">
        <f t="shared" si="57"/>
        <v>1.5827680645345223</v>
      </c>
      <c r="AO38" s="98">
        <f t="shared" si="58"/>
        <v>0.88691730272854175</v>
      </c>
      <c r="AP38" s="168" t="str">
        <f t="shared" si="59"/>
        <v>-26.2219316469366+21.3944592125466i</v>
      </c>
      <c r="AQ38" s="98">
        <f t="shared" si="60"/>
        <v>30.589240326209097</v>
      </c>
      <c r="AR38" s="169">
        <f t="shared" si="61"/>
        <v>140.78901389118246</v>
      </c>
      <c r="AS38" s="168" t="str">
        <f t="shared" si="62"/>
        <v>160.394292190412+200.758069639097i</v>
      </c>
      <c r="AT38" s="190">
        <f t="shared" si="63"/>
        <v>48.197421621284022</v>
      </c>
      <c r="AU38" s="169">
        <f t="shared" si="64"/>
        <v>51.377132041930778</v>
      </c>
      <c r="AV38" s="225"/>
      <c r="AX38">
        <f t="shared" si="65"/>
        <v>0</v>
      </c>
      <c r="AY38">
        <f t="shared" si="66"/>
        <v>0</v>
      </c>
    </row>
    <row r="39" spans="1:51" x14ac:dyDescent="0.2">
      <c r="A39" s="98" t="s">
        <v>253</v>
      </c>
      <c r="B39" s="209">
        <f>((VOUT/IOUT)*((VIN_var/VOUT)^2))/(Lm)</f>
        <v>1470588.2352941178</v>
      </c>
      <c r="C39" s="98" t="s">
        <v>251</v>
      </c>
      <c r="E39" s="98" t="s">
        <v>243</v>
      </c>
      <c r="N39" s="170">
        <v>21</v>
      </c>
      <c r="O39" s="199">
        <f t="shared" si="41"/>
        <v>16.218100973589298</v>
      </c>
      <c r="P39" s="189" t="str">
        <f t="shared" si="32"/>
        <v>771.276595744681</v>
      </c>
      <c r="Q39" s="160" t="str">
        <f t="shared" si="33"/>
        <v>1+103.939360422563i</v>
      </c>
      <c r="R39" s="160">
        <f t="shared" si="42"/>
        <v>103.94417080842703</v>
      </c>
      <c r="S39" s="160">
        <f t="shared" si="43"/>
        <v>1.5611756292734058</v>
      </c>
      <c r="T39" s="160" t="str">
        <f t="shared" si="34"/>
        <v>1+0.0000244563200994266i</v>
      </c>
      <c r="U39" s="160">
        <f t="shared" si="44"/>
        <v>1.0000000002990557</v>
      </c>
      <c r="V39" s="160">
        <f t="shared" si="45"/>
        <v>2.445632009455073E-5</v>
      </c>
      <c r="W39" s="98" t="str">
        <f t="shared" si="35"/>
        <v>1-0.0000692929069483754i</v>
      </c>
      <c r="X39" s="160">
        <f t="shared" si="46"/>
        <v>1.0000000024007534</v>
      </c>
      <c r="Y39" s="160">
        <f t="shared" si="47"/>
        <v>-6.9292906837471936E-5</v>
      </c>
      <c r="Z39" s="98" t="str">
        <f t="shared" si="36"/>
        <v>0.99999989478928-0.000474435520093181i</v>
      </c>
      <c r="AA39" s="160">
        <f t="shared" si="48"/>
        <v>1.0000000073338167</v>
      </c>
      <c r="AB39" s="160">
        <f t="shared" si="49"/>
        <v>-4.7443553441213368E-4</v>
      </c>
      <c r="AC39" s="171" t="str">
        <f t="shared" si="50"/>
        <v>0.0745729929433733-7.4197295891639i</v>
      </c>
      <c r="AD39" s="190">
        <f t="shared" si="51"/>
        <v>17.40820023706538</v>
      </c>
      <c r="AE39" s="169">
        <f t="shared" si="52"/>
        <v>-89.424160429461892</v>
      </c>
      <c r="AF39" s="98" t="str">
        <f t="shared" si="37"/>
        <v>-0.0000119284294234592</v>
      </c>
      <c r="AG39" s="98" t="str">
        <f t="shared" si="38"/>
        <v>5.70871651920868E-07i</v>
      </c>
      <c r="AH39" s="98">
        <f t="shared" si="53"/>
        <v>5.7087165192086805E-7</v>
      </c>
      <c r="AI39" s="98">
        <f t="shared" si="54"/>
        <v>1.5707963267948966</v>
      </c>
      <c r="AJ39" s="98" t="str">
        <f t="shared" si="39"/>
        <v>1+0.000493008773320347i</v>
      </c>
      <c r="AK39" s="98">
        <f t="shared" si="55"/>
        <v>1.0000001215288179</v>
      </c>
      <c r="AL39" s="98">
        <f t="shared" si="56"/>
        <v>4.930087333771681E-4</v>
      </c>
      <c r="AM39" s="98" t="str">
        <f t="shared" si="40"/>
        <v>1+1.25542443177057i</v>
      </c>
      <c r="AN39" s="98">
        <f t="shared" si="57"/>
        <v>1.6050204060654367</v>
      </c>
      <c r="AO39" s="98">
        <f t="shared" si="58"/>
        <v>0.8981666463144875</v>
      </c>
      <c r="AP39" s="168" t="str">
        <f t="shared" si="59"/>
        <v>-26.2219313600846+20.9080437043313i</v>
      </c>
      <c r="AQ39" s="98">
        <f t="shared" si="60"/>
        <v>30.510505867029323</v>
      </c>
      <c r="AR39" s="169">
        <f t="shared" si="61"/>
        <v>141.43291081355383</v>
      </c>
      <c r="AS39" s="168" t="str">
        <f t="shared" si="62"/>
        <v>153.176582622282+196.118815393067i</v>
      </c>
      <c r="AT39" s="190">
        <f t="shared" si="63"/>
        <v>47.918706104094696</v>
      </c>
      <c r="AU39" s="169">
        <f t="shared" si="64"/>
        <v>52.008750384091854</v>
      </c>
      <c r="AV39" s="225"/>
      <c r="AX39">
        <f t="shared" si="65"/>
        <v>0</v>
      </c>
      <c r="AY39">
        <f t="shared" si="66"/>
        <v>0</v>
      </c>
    </row>
    <row r="40" spans="1:51" x14ac:dyDescent="0.2">
      <c r="B40" s="211">
        <f>wz_rhp/(2*PI())</f>
        <v>234051.38689984611</v>
      </c>
      <c r="C40" s="98" t="s">
        <v>69</v>
      </c>
      <c r="N40" s="170">
        <v>22</v>
      </c>
      <c r="O40" s="199">
        <f t="shared" si="41"/>
        <v>16.595869074375614</v>
      </c>
      <c r="P40" s="189" t="str">
        <f t="shared" si="32"/>
        <v>771.276595744681</v>
      </c>
      <c r="Q40" s="160" t="str">
        <f t="shared" si="33"/>
        <v>1+106.360419142553i</v>
      </c>
      <c r="R40" s="160">
        <f t="shared" si="42"/>
        <v>106.36512003556219</v>
      </c>
      <c r="S40" s="160">
        <f t="shared" si="43"/>
        <v>1.561394610030379</v>
      </c>
      <c r="T40" s="160" t="str">
        <f t="shared" si="34"/>
        <v>1+0.0000250259809747183i</v>
      </c>
      <c r="U40" s="160">
        <f t="shared" si="44"/>
        <v>1.0000000003131497</v>
      </c>
      <c r="V40" s="160">
        <f t="shared" si="45"/>
        <v>2.5025980969493714E-5</v>
      </c>
      <c r="W40" s="98" t="str">
        <f t="shared" si="35"/>
        <v>1-0.0000709069460950351i</v>
      </c>
      <c r="X40" s="160">
        <f t="shared" si="46"/>
        <v>1.0000000025138975</v>
      </c>
      <c r="Y40" s="160">
        <f t="shared" si="47"/>
        <v>-7.0906945976199895E-5</v>
      </c>
      <c r="Z40" s="98" t="str">
        <f t="shared" si="36"/>
        <v>0.999999889830852-0.000485486543000428i</v>
      </c>
      <c r="AA40" s="160">
        <f t="shared" si="48"/>
        <v>1.0000000076794497</v>
      </c>
      <c r="AB40" s="160">
        <f t="shared" si="49"/>
        <v>-4.8548655834346194E-4</v>
      </c>
      <c r="AC40" s="171" t="str">
        <f t="shared" si="50"/>
        <v>0.0713604144248622-7.25086609548139i</v>
      </c>
      <c r="AD40" s="190">
        <f t="shared" si="51"/>
        <v>17.208218326436004</v>
      </c>
      <c r="AE40" s="169">
        <f t="shared" si="52"/>
        <v>-89.436133764067208</v>
      </c>
      <c r="AF40" s="98" t="str">
        <f t="shared" si="37"/>
        <v>-0.0000119284294234592</v>
      </c>
      <c r="AG40" s="98" t="str">
        <f t="shared" si="38"/>
        <v>5.84168960902362E-07i</v>
      </c>
      <c r="AH40" s="98">
        <f t="shared" si="53"/>
        <v>5.8416896090236199E-7</v>
      </c>
      <c r="AI40" s="98">
        <f t="shared" si="54"/>
        <v>1.5707963267948966</v>
      </c>
      <c r="AJ40" s="98" t="str">
        <f t="shared" si="39"/>
        <v>1+0.000504492422871643i</v>
      </c>
      <c r="AK40" s="98">
        <f t="shared" si="55"/>
        <v>1.0000001272562944</v>
      </c>
      <c r="AL40" s="98">
        <f t="shared" si="56"/>
        <v>5.0449238007175602E-4</v>
      </c>
      <c r="AM40" s="98" t="str">
        <f t="shared" si="40"/>
        <v>1+1.28466702336887i</v>
      </c>
      <c r="AN40" s="98">
        <f t="shared" si="57"/>
        <v>1.6279955039653617</v>
      </c>
      <c r="AO40" s="98">
        <f t="shared" si="58"/>
        <v>0.90935822018055879</v>
      </c>
      <c r="AP40" s="168" t="str">
        <f t="shared" si="59"/>
        <v>-26.2219310597137+20.4327139176253i</v>
      </c>
      <c r="AQ40" s="98">
        <f t="shared" si="60"/>
        <v>30.433958673526238</v>
      </c>
      <c r="AR40" s="169">
        <f t="shared" si="61"/>
        <v>142.07348279769985</v>
      </c>
      <c r="AS40" s="168" t="str">
        <f t="shared" si="62"/>
        <v>146.283664716539+191.589797811915i</v>
      </c>
      <c r="AT40" s="190">
        <f t="shared" si="63"/>
        <v>47.642176999962246</v>
      </c>
      <c r="AU40" s="169">
        <f t="shared" si="64"/>
        <v>52.63734903363261</v>
      </c>
      <c r="AV40" s="225"/>
      <c r="AX40">
        <f t="shared" si="65"/>
        <v>0</v>
      </c>
      <c r="AY40">
        <f t="shared" si="66"/>
        <v>0</v>
      </c>
    </row>
    <row r="41" spans="1:51" x14ac:dyDescent="0.2">
      <c r="B41" s="211"/>
      <c r="N41" s="170">
        <v>23</v>
      </c>
      <c r="O41" s="199">
        <f t="shared" si="41"/>
        <v>16.982436524617448</v>
      </c>
      <c r="P41" s="189" t="str">
        <f t="shared" si="32"/>
        <v>771.276595744681</v>
      </c>
      <c r="Q41" s="160" t="str">
        <f t="shared" si="33"/>
        <v>1+108.837871564618i</v>
      </c>
      <c r="R41" s="160">
        <f t="shared" si="42"/>
        <v>108.84246545680728</v>
      </c>
      <c r="S41" s="160">
        <f t="shared" si="43"/>
        <v>1.561608607048069</v>
      </c>
      <c r="T41" s="160" t="str">
        <f t="shared" si="34"/>
        <v>1+0.0000256089109563806i</v>
      </c>
      <c r="U41" s="160">
        <f t="shared" si="44"/>
        <v>1.0000000003279081</v>
      </c>
      <c r="V41" s="160">
        <f t="shared" si="45"/>
        <v>2.5608910950782353E-5</v>
      </c>
      <c r="W41" s="98" t="str">
        <f t="shared" si="35"/>
        <v>1-0.0000725585810430784i</v>
      </c>
      <c r="X41" s="160">
        <f t="shared" si="46"/>
        <v>1.0000000026323739</v>
      </c>
      <c r="Y41" s="160">
        <f t="shared" si="47"/>
        <v>-7.2558580915744198E-5</v>
      </c>
      <c r="Z41" s="98" t="str">
        <f t="shared" si="36"/>
        <v>0.99999988463874-0.000496794977298945i</v>
      </c>
      <c r="AA41" s="160">
        <f t="shared" si="48"/>
        <v>1.0000000080413713</v>
      </c>
      <c r="AB41" s="160">
        <f t="shared" si="49"/>
        <v>-4.9679499373930195E-4</v>
      </c>
      <c r="AC41" s="171" t="str">
        <f t="shared" si="50"/>
        <v>0.068292400772254-7.08584438762228i</v>
      </c>
      <c r="AD41" s="190">
        <f t="shared" si="51"/>
        <v>17.008235601546417</v>
      </c>
      <c r="AE41" s="169">
        <f t="shared" si="52"/>
        <v>-89.447808196671801</v>
      </c>
      <c r="AF41" s="98" t="str">
        <f t="shared" si="37"/>
        <v>-0.0000119284294234592</v>
      </c>
      <c r="AG41" s="98" t="str">
        <f t="shared" si="38"/>
        <v>5.97776003999317E-07i</v>
      </c>
      <c r="AH41" s="98">
        <f t="shared" si="53"/>
        <v>5.9777600399931698E-7</v>
      </c>
      <c r="AI41" s="98">
        <f t="shared" si="54"/>
        <v>1.5707963267948966</v>
      </c>
      <c r="AJ41" s="98" t="str">
        <f t="shared" si="39"/>
        <v>1+0.000516243560983289i</v>
      </c>
      <c r="AK41" s="98">
        <f t="shared" si="55"/>
        <v>1.0000001332536983</v>
      </c>
      <c r="AL41" s="98">
        <f t="shared" si="56"/>
        <v>5.162435151223842E-4</v>
      </c>
      <c r="AM41" s="98" t="str">
        <f t="shared" si="40"/>
        <v>1+1.31459076242754i</v>
      </c>
      <c r="AN41" s="98">
        <f t="shared" si="57"/>
        <v>1.6517108925776995</v>
      </c>
      <c r="AO41" s="98">
        <f t="shared" si="58"/>
        <v>0.92048674475351233</v>
      </c>
      <c r="AP41" s="168" t="str">
        <f t="shared" si="59"/>
        <v>-26.2219307451866+19.9682178262833i</v>
      </c>
      <c r="AQ41" s="98">
        <f t="shared" si="60"/>
        <v>30.359575255105771</v>
      </c>
      <c r="AR41" s="169">
        <f t="shared" si="61"/>
        <v>142.71042699749455</v>
      </c>
      <c r="AS41" s="168" t="str">
        <f t="shared" si="62"/>
        <v>139.700925611716+187.168198337901i</v>
      </c>
      <c r="AT41" s="190">
        <f t="shared" si="63"/>
        <v>47.367810856652184</v>
      </c>
      <c r="AU41" s="169">
        <f t="shared" si="64"/>
        <v>53.262618800822786</v>
      </c>
      <c r="AV41" s="225"/>
      <c r="AX41">
        <f t="shared" si="65"/>
        <v>0</v>
      </c>
      <c r="AY41">
        <f t="shared" si="66"/>
        <v>0</v>
      </c>
    </row>
    <row r="42" spans="1:51" x14ac:dyDescent="0.2">
      <c r="A42" s="98" t="s">
        <v>254</v>
      </c>
      <c r="B42" s="209">
        <f>1/(Cout*Resr)</f>
        <v>4166666.666666667</v>
      </c>
      <c r="C42" s="98" t="s">
        <v>251</v>
      </c>
      <c r="E42" s="98" t="s">
        <v>244</v>
      </c>
      <c r="N42" s="170">
        <v>24</v>
      </c>
      <c r="O42" s="199">
        <f t="shared" si="41"/>
        <v>17.378008287493756</v>
      </c>
      <c r="P42" s="189" t="str">
        <f t="shared" si="32"/>
        <v>771.276595744681</v>
      </c>
      <c r="Q42" s="160" t="str">
        <f t="shared" si="33"/>
        <v>1+111.373031266827i</v>
      </c>
      <c r="R42" s="160">
        <f t="shared" si="42"/>
        <v>111.37752059352744</v>
      </c>
      <c r="S42" s="160">
        <f t="shared" si="43"/>
        <v>1.5618177337120829</v>
      </c>
      <c r="T42" s="160" t="str">
        <f t="shared" si="34"/>
        <v>1+0.0000262054191216062i</v>
      </c>
      <c r="U42" s="160">
        <f t="shared" si="44"/>
        <v>1.000000000343362</v>
      </c>
      <c r="V42" s="160">
        <f t="shared" si="45"/>
        <v>2.620541911560757E-5</v>
      </c>
      <c r="W42" s="98" t="str">
        <f t="shared" si="35"/>
        <v>1-0.0000742486875112176i</v>
      </c>
      <c r="X42" s="160">
        <f t="shared" si="46"/>
        <v>1.0000000027564337</v>
      </c>
      <c r="Y42" s="160">
        <f t="shared" si="47"/>
        <v>-7.4248687374776548E-5</v>
      </c>
      <c r="Z42" s="98" t="str">
        <f t="shared" si="36"/>
        <v>0.999999879201931-0.000508366818870289i</v>
      </c>
      <c r="AA42" s="160">
        <f t="shared" si="48"/>
        <v>1.0000000084203495</v>
      </c>
      <c r="AB42" s="160">
        <f t="shared" si="49"/>
        <v>-5.0836683648644891E-4</v>
      </c>
      <c r="AC42" s="171" t="str">
        <f t="shared" si="50"/>
        <v>0.0653624476929532-6.92457715036781i</v>
      </c>
      <c r="AD42" s="190">
        <f t="shared" si="51"/>
        <v>16.808252099029936</v>
      </c>
      <c r="AE42" s="169">
        <f t="shared" si="52"/>
        <v>-89.459189912719594</v>
      </c>
      <c r="AF42" s="98" t="str">
        <f t="shared" si="37"/>
        <v>-0.0000119284294234592</v>
      </c>
      <c r="AG42" s="98" t="str">
        <f t="shared" si="38"/>
        <v>6.11699995846093E-07i</v>
      </c>
      <c r="AH42" s="98">
        <f t="shared" si="53"/>
        <v>6.1169999584609305E-7</v>
      </c>
      <c r="AI42" s="98">
        <f t="shared" si="54"/>
        <v>1.5707963267948966</v>
      </c>
      <c r="AJ42" s="98" t="str">
        <f t="shared" si="39"/>
        <v>1+0.000528268418264264i</v>
      </c>
      <c r="AK42" s="98">
        <f t="shared" si="55"/>
        <v>1.0000001395337512</v>
      </c>
      <c r="AL42" s="98">
        <f t="shared" si="56"/>
        <v>5.2826836912341947E-4</v>
      </c>
      <c r="AM42" s="98" t="str">
        <f t="shared" si="40"/>
        <v>1+1.34521151490912i</v>
      </c>
      <c r="AN42" s="98">
        <f t="shared" si="57"/>
        <v>1.6761843633216751</v>
      </c>
      <c r="AO42" s="98">
        <f t="shared" si="58"/>
        <v>0.93154709540566982</v>
      </c>
      <c r="AP42" s="168" t="str">
        <f t="shared" si="59"/>
        <v>-26.2219304158365+19.514309148328i</v>
      </c>
      <c r="AQ42" s="98">
        <f t="shared" si="60"/>
        <v>30.287330242019639</v>
      </c>
      <c r="AR42" s="169">
        <f t="shared" si="61"/>
        <v>143.34344943641435</v>
      </c>
      <c r="AS42" s="168" t="str">
        <f t="shared" si="62"/>
        <v>133.414409678512+182.851283207008i</v>
      </c>
      <c r="AT42" s="190">
        <f t="shared" si="63"/>
        <v>47.095582341049571</v>
      </c>
      <c r="AU42" s="169">
        <f t="shared" si="64"/>
        <v>53.88425952369483</v>
      </c>
      <c r="AV42" s="225"/>
      <c r="AX42">
        <f t="shared" si="65"/>
        <v>0</v>
      </c>
      <c r="AY42">
        <f t="shared" si="66"/>
        <v>0</v>
      </c>
    </row>
    <row r="43" spans="1:51" x14ac:dyDescent="0.2">
      <c r="B43" s="209">
        <f>wz_esr/(2*PI())</f>
        <v>663145.59621623065</v>
      </c>
      <c r="C43" s="98" t="s">
        <v>69</v>
      </c>
      <c r="N43" s="170">
        <v>25</v>
      </c>
      <c r="O43" s="199">
        <f t="shared" si="41"/>
        <v>17.782794100389236</v>
      </c>
      <c r="P43" s="189" t="str">
        <f t="shared" si="32"/>
        <v>771.276595744681</v>
      </c>
      <c r="Q43" s="160" t="str">
        <f t="shared" si="33"/>
        <v>1+113.967242424408i</v>
      </c>
      <c r="R43" s="160">
        <f t="shared" si="42"/>
        <v>113.97162956553611</v>
      </c>
      <c r="S43" s="160">
        <f t="shared" si="43"/>
        <v>1.5620221008309363</v>
      </c>
      <c r="T43" s="160" t="str">
        <f t="shared" si="34"/>
        <v>1+0.0000268158217469196i</v>
      </c>
      <c r="U43" s="160">
        <f t="shared" si="44"/>
        <v>1.0000000003595442</v>
      </c>
      <c r="V43" s="160">
        <f t="shared" si="45"/>
        <v>2.6815821740491953E-5</v>
      </c>
      <c r="W43" s="98" t="str">
        <f t="shared" si="35"/>
        <v>1-0.0000759781616162721i</v>
      </c>
      <c r="X43" s="160">
        <f t="shared" si="46"/>
        <v>1.0000000028863405</v>
      </c>
      <c r="Y43" s="160">
        <f t="shared" si="47"/>
        <v>-7.5978161470072878E-5</v>
      </c>
      <c r="Z43" s="98" t="str">
        <f t="shared" si="36"/>
        <v>0.999999873508894-0.000520208203258024i</v>
      </c>
      <c r="AA43" s="160">
        <f t="shared" si="48"/>
        <v>1.0000000088171892</v>
      </c>
      <c r="AB43" s="160">
        <f t="shared" si="49"/>
        <v>-5.2020822213407912E-4</v>
      </c>
      <c r="AC43" s="171" t="str">
        <f t="shared" si="50"/>
        <v>0.0625643434423748-6.76697904705995i</v>
      </c>
      <c r="AD43" s="190">
        <f t="shared" si="51"/>
        <v>16.608267853871382</v>
      </c>
      <c r="AE43" s="169">
        <f t="shared" si="52"/>
        <v>-89.470284942752187</v>
      </c>
      <c r="AF43" s="98" t="str">
        <f t="shared" si="37"/>
        <v>-0.0000119284294234592</v>
      </c>
      <c r="AG43" s="98" t="str">
        <f t="shared" si="38"/>
        <v>6.25948319127473E-07i</v>
      </c>
      <c r="AH43" s="98">
        <f t="shared" si="53"/>
        <v>6.2594831912747301E-7</v>
      </c>
      <c r="AI43" s="98">
        <f t="shared" si="54"/>
        <v>1.5707963267948966</v>
      </c>
      <c r="AJ43" s="98" t="str">
        <f t="shared" si="39"/>
        <v>1+0.000540573370453057i</v>
      </c>
      <c r="AK43" s="98">
        <f t="shared" si="55"/>
        <v>1.0000001461097736</v>
      </c>
      <c r="AL43" s="98">
        <f t="shared" si="56"/>
        <v>5.405733177976939E-4</v>
      </c>
      <c r="AM43" s="98" t="str">
        <f t="shared" si="40"/>
        <v>1+1.37654551634187i</v>
      </c>
      <c r="AN43" s="98">
        <f t="shared" si="57"/>
        <v>1.701433971260979</v>
      </c>
      <c r="AO43" s="98">
        <f t="shared" si="58"/>
        <v>0.94253431266342136</v>
      </c>
      <c r="AP43" s="168" t="str">
        <f t="shared" si="59"/>
        <v>-26.2219300709644+19.0707472153691i</v>
      </c>
      <c r="AQ43" s="98">
        <f t="shared" si="60"/>
        <v>30.217196482267017</v>
      </c>
      <c r="AR43" s="169">
        <f t="shared" si="61"/>
        <v>143.97226559225075</v>
      </c>
      <c r="AS43" s="168" t="str">
        <f t="shared" si="62"/>
        <v>127.410788979498+178.636400142172i</v>
      </c>
      <c r="AT43" s="190">
        <f t="shared" si="63"/>
        <v>46.825464336138396</v>
      </c>
      <c r="AU43" s="169">
        <f t="shared" si="64"/>
        <v>54.501980649498485</v>
      </c>
      <c r="AV43" s="225"/>
      <c r="AX43">
        <f t="shared" si="65"/>
        <v>0</v>
      </c>
      <c r="AY43">
        <f t="shared" si="66"/>
        <v>0</v>
      </c>
    </row>
    <row r="44" spans="1:51" x14ac:dyDescent="0.2">
      <c r="B44" s="211"/>
      <c r="N44" s="170">
        <v>26</v>
      </c>
      <c r="O44" s="199">
        <f t="shared" si="41"/>
        <v>18.197008586099841</v>
      </c>
      <c r="P44" s="189" t="str">
        <f t="shared" si="32"/>
        <v>771.276595744681</v>
      </c>
      <c r="Q44" s="160" t="str">
        <f t="shared" si="33"/>
        <v>1+116.621880522459i</v>
      </c>
      <c r="R44" s="160">
        <f t="shared" si="42"/>
        <v>116.62616780377677</v>
      </c>
      <c r="S44" s="160">
        <f t="shared" si="43"/>
        <v>1.5622218166944573</v>
      </c>
      <c r="T44" s="160" t="str">
        <f t="shared" si="34"/>
        <v>1+0.0000274404424758727i</v>
      </c>
      <c r="U44" s="160">
        <f t="shared" si="44"/>
        <v>1.0000000003764888</v>
      </c>
      <c r="V44" s="160">
        <f t="shared" si="45"/>
        <v>2.7440442468985349E-5</v>
      </c>
      <c r="W44" s="98" t="str">
        <f t="shared" si="35"/>
        <v>1-0.0000777479203483059i</v>
      </c>
      <c r="X44" s="160">
        <f t="shared" si="46"/>
        <v>1.0000000030223695</v>
      </c>
      <c r="Y44" s="160">
        <f t="shared" si="47"/>
        <v>-7.7747920191650592E-5</v>
      </c>
      <c r="Z44" s="98" t="str">
        <f t="shared" si="36"/>
        <v>0.999999867547551-0.000532325408920899i</v>
      </c>
      <c r="AA44" s="160">
        <f t="shared" si="48"/>
        <v>1.0000000092327301</v>
      </c>
      <c r="AB44" s="160">
        <f t="shared" si="49"/>
        <v>-5.3232542914695685E-4</v>
      </c>
      <c r="AC44" s="171" t="str">
        <f t="shared" si="50"/>
        <v>0.0598921556741184-6.61296667516227i</v>
      </c>
      <c r="AD44" s="190">
        <f t="shared" si="51"/>
        <v>16.408282899480746</v>
      </c>
      <c r="AE44" s="169">
        <f t="shared" si="52"/>
        <v>-89.481099165586386</v>
      </c>
      <c r="AF44" s="98" t="str">
        <f t="shared" si="37"/>
        <v>-0.0000119284294234592</v>
      </c>
      <c r="AG44" s="98" t="str">
        <f t="shared" si="38"/>
        <v>6.40528528493061E-07i</v>
      </c>
      <c r="AH44" s="98">
        <f t="shared" si="53"/>
        <v>6.4052852849306104E-7</v>
      </c>
      <c r="AI44" s="98">
        <f t="shared" si="54"/>
        <v>1.5707963267948966</v>
      </c>
      <c r="AJ44" s="98" t="str">
        <f t="shared" si="39"/>
        <v>1+0.000553164941798202i</v>
      </c>
      <c r="AK44" s="98">
        <f t="shared" si="55"/>
        <v>1.0000001529957148</v>
      </c>
      <c r="AL44" s="98">
        <f t="shared" si="56"/>
        <v>5.5316488537696432E-4</v>
      </c>
      <c r="AM44" s="98" t="str">
        <f t="shared" si="40"/>
        <v>1+1.40860938042813i</v>
      </c>
      <c r="AN44" s="98">
        <f t="shared" si="57"/>
        <v>1.7274780423004283</v>
      </c>
      <c r="AO44" s="98">
        <f t="shared" si="58"/>
        <v>0.95344361148297674</v>
      </c>
      <c r="AP44" s="168" t="str">
        <f t="shared" si="59"/>
        <v>-26.2219297098391+18.6372968449973i</v>
      </c>
      <c r="AQ44" s="98">
        <f t="shared" si="60"/>
        <v>30.14914514333821</v>
      </c>
      <c r="AR44" s="169">
        <f t="shared" si="61"/>
        <v>144.59660092837868</v>
      </c>
      <c r="AS44" s="168" t="str">
        <f t="shared" si="62"/>
        <v>121.677335054817+174.520975213599i</v>
      </c>
      <c r="AT44" s="190">
        <f t="shared" si="63"/>
        <v>46.55742804281897</v>
      </c>
      <c r="AU44" s="169">
        <f t="shared" si="64"/>
        <v>55.115501762792242</v>
      </c>
      <c r="AV44" s="225"/>
      <c r="AX44">
        <f t="shared" si="65"/>
        <v>0</v>
      </c>
      <c r="AY44">
        <f t="shared" si="66"/>
        <v>0</v>
      </c>
    </row>
    <row r="45" spans="1:51" x14ac:dyDescent="0.2">
      <c r="A45" s="98" t="s">
        <v>247</v>
      </c>
      <c r="B45" s="211">
        <f>(Isl*(Rsl_int+R_sl)*Fsw)</f>
        <v>3999</v>
      </c>
      <c r="C45" s="98" t="s">
        <v>180</v>
      </c>
      <c r="E45" s="98" t="s">
        <v>248</v>
      </c>
      <c r="N45" s="170">
        <v>27</v>
      </c>
      <c r="O45" s="199">
        <f t="shared" si="41"/>
        <v>18.62087136662868</v>
      </c>
      <c r="P45" s="189" t="str">
        <f t="shared" si="32"/>
        <v>771.276595744681</v>
      </c>
      <c r="Q45" s="160" t="str">
        <f t="shared" si="33"/>
        <v>1+119.338353085236i</v>
      </c>
      <c r="R45" s="160">
        <f t="shared" si="42"/>
        <v>119.3425427795824</v>
      </c>
      <c r="S45" s="160">
        <f t="shared" si="43"/>
        <v>1.5624169871308757</v>
      </c>
      <c r="T45" s="160" t="str">
        <f t="shared" si="34"/>
        <v>1+0.0000280796124906437i</v>
      </c>
      <c r="U45" s="160">
        <f t="shared" si="44"/>
        <v>1.0000000003942322</v>
      </c>
      <c r="V45" s="160">
        <f t="shared" si="45"/>
        <v>2.8079612483263773E-5</v>
      </c>
      <c r="W45" s="98" t="str">
        <f t="shared" si="35"/>
        <v>1-0.0000795589020568236i</v>
      </c>
      <c r="X45" s="160">
        <f t="shared" si="46"/>
        <v>1.0000000031648093</v>
      </c>
      <c r="Y45" s="160">
        <f t="shared" si="47"/>
        <v>-7.955890188896443E-5</v>
      </c>
      <c r="Z45" s="98" t="str">
        <f t="shared" si="36"/>
        <v>0.99999986130526-0.000544724860561742i</v>
      </c>
      <c r="AA45" s="160">
        <f t="shared" si="48"/>
        <v>1.0000000096678563</v>
      </c>
      <c r="AB45" s="160">
        <f t="shared" si="49"/>
        <v>-5.4472488223435297E-4</v>
      </c>
      <c r="AC45" s="171" t="str">
        <f t="shared" si="50"/>
        <v>0.0573402188805052-6.46245852279334i</v>
      </c>
      <c r="AD45" s="190">
        <f t="shared" si="51"/>
        <v>16.208297267764603</v>
      </c>
      <c r="AE45" s="169">
        <f t="shared" si="52"/>
        <v>-89.49163831141253</v>
      </c>
      <c r="AF45" s="98" t="str">
        <f t="shared" si="37"/>
        <v>-0.0000119284294234592</v>
      </c>
      <c r="AG45" s="98" t="str">
        <f t="shared" si="38"/>
        <v>6.55448354562852E-07i</v>
      </c>
      <c r="AH45" s="98">
        <f t="shared" si="53"/>
        <v>6.5544835456285198E-7</v>
      </c>
      <c r="AI45" s="98">
        <f t="shared" si="54"/>
        <v>1.5707963267948966</v>
      </c>
      <c r="AJ45" s="98" t="str">
        <f t="shared" si="39"/>
        <v>1+0.000566049808517491i</v>
      </c>
      <c r="AK45" s="98">
        <f t="shared" si="55"/>
        <v>1.0000001602061801</v>
      </c>
      <c r="AL45" s="98">
        <f t="shared" si="56"/>
        <v>5.6604974806104616E-4</v>
      </c>
      <c r="AM45" s="98" t="str">
        <f t="shared" si="40"/>
        <v>1+1.44142010785304i</v>
      </c>
      <c r="AN45" s="98">
        <f t="shared" si="57"/>
        <v>1.7543351810081989</v>
      </c>
      <c r="AO45" s="98">
        <f t="shared" si="58"/>
        <v>0.9642703895644108</v>
      </c>
      <c r="AP45" s="168" t="str">
        <f t="shared" si="59"/>
        <v>-26.2219293316946+18.2137282160879i</v>
      </c>
      <c r="AQ45" s="98">
        <f t="shared" si="60"/>
        <v>30.083145818029848</v>
      </c>
      <c r="AR45" s="169">
        <f t="shared" si="61"/>
        <v>145.21619136991811</v>
      </c>
      <c r="AS45" s="168" t="str">
        <f t="shared" si="62"/>
        <v>116.20189197455+170.502509856235i</v>
      </c>
      <c r="AT45" s="190">
        <f t="shared" si="63"/>
        <v>46.291443085794448</v>
      </c>
      <c r="AU45" s="169">
        <f t="shared" si="64"/>
        <v>55.724553058505649</v>
      </c>
      <c r="AV45" s="225"/>
      <c r="AX45">
        <f t="shared" si="65"/>
        <v>0</v>
      </c>
      <c r="AY45">
        <f t="shared" si="66"/>
        <v>0</v>
      </c>
    </row>
    <row r="46" spans="1:51" x14ac:dyDescent="0.2">
      <c r="A46" s="98" t="s">
        <v>250</v>
      </c>
      <c r="B46" s="211">
        <f>(R_cs*VIN_var*Acs)/Lm</f>
        <v>23500</v>
      </c>
      <c r="C46" s="98" t="s">
        <v>180</v>
      </c>
      <c r="E46" s="98" t="s">
        <v>249</v>
      </c>
      <c r="N46" s="170">
        <v>28</v>
      </c>
      <c r="O46" s="199">
        <f t="shared" si="41"/>
        <v>19.054607179632477</v>
      </c>
      <c r="P46" s="189" t="str">
        <f t="shared" si="32"/>
        <v>771.276595744681</v>
      </c>
      <c r="Q46" s="160" t="str">
        <f t="shared" si="33"/>
        <v>1+122.118100422448i</v>
      </c>
      <c r="R46" s="160">
        <f t="shared" si="42"/>
        <v>122.12219475094236</v>
      </c>
      <c r="S46" s="160">
        <f t="shared" si="43"/>
        <v>1.5626077155626317</v>
      </c>
      <c r="T46" s="160" t="str">
        <f t="shared" si="34"/>
        <v>1+0.0000287336706876348i</v>
      </c>
      <c r="U46" s="160">
        <f t="shared" si="44"/>
        <v>1.0000000004128118</v>
      </c>
      <c r="V46" s="160">
        <f t="shared" si="45"/>
        <v>2.8733670679727068E-5</v>
      </c>
      <c r="W46" s="98" t="str">
        <f t="shared" si="35"/>
        <v>1-0.0000814120669482985i</v>
      </c>
      <c r="X46" s="160">
        <f t="shared" si="46"/>
        <v>1.0000000033139622</v>
      </c>
      <c r="Y46" s="160">
        <f t="shared" si="47"/>
        <v>-8.1412066768434151E-5</v>
      </c>
      <c r="Z46" s="98" t="str">
        <f t="shared" si="36"/>
        <v>0.999999854768778-0.000557413132533941i</v>
      </c>
      <c r="AA46" s="160">
        <f t="shared" si="48"/>
        <v>1.0000000101234887</v>
      </c>
      <c r="AB46" s="160">
        <f t="shared" si="49"/>
        <v>-5.5741315575656215E-4</v>
      </c>
      <c r="AC46" s="171" t="str">
        <f t="shared" si="50"/>
        <v>0.0549031223970025-6.31537492621169i</v>
      </c>
      <c r="AD46" s="190">
        <f t="shared" si="51"/>
        <v>16.008310989193696</v>
      </c>
      <c r="AE46" s="169">
        <f t="shared" si="52"/>
        <v>-89.501907964815288</v>
      </c>
      <c r="AF46" s="98" t="str">
        <f t="shared" si="37"/>
        <v>-0.0000119284294234592</v>
      </c>
      <c r="AG46" s="98" t="str">
        <f t="shared" si="38"/>
        <v>6.70715708026118E-07i</v>
      </c>
      <c r="AH46" s="98">
        <f t="shared" si="53"/>
        <v>6.7071570802611795E-7</v>
      </c>
      <c r="AI46" s="98">
        <f t="shared" si="54"/>
        <v>1.5707963267948966</v>
      </c>
      <c r="AJ46" s="98" t="str">
        <f t="shared" si="39"/>
        <v>1+0.000579234802337811i</v>
      </c>
      <c r="AK46" s="98">
        <f t="shared" si="55"/>
        <v>1.0000001677564641</v>
      </c>
      <c r="AL46" s="98">
        <f t="shared" si="56"/>
        <v>5.7923473755756372E-4</v>
      </c>
      <c r="AM46" s="98" t="str">
        <f t="shared" si="40"/>
        <v>1+1.47499509529859i</v>
      </c>
      <c r="AN46" s="98">
        <f t="shared" si="57"/>
        <v>1.782024279058761</v>
      </c>
      <c r="AO46" s="98">
        <f t="shared" si="58"/>
        <v>0.97501023468450576</v>
      </c>
      <c r="AP46" s="168" t="str">
        <f t="shared" si="59"/>
        <v>-26.2219289357287+17.7998167469455i</v>
      </c>
      <c r="AQ46" s="98">
        <f t="shared" si="60"/>
        <v>30.019166633556004</v>
      </c>
      <c r="AR46" s="169">
        <f t="shared" si="61"/>
        <v>145.83078372367274</v>
      </c>
      <c r="AS46" s="168" t="str">
        <f t="shared" si="62"/>
        <v>110.972850600979+166.578578035108i</v>
      </c>
      <c r="AT46" s="190">
        <f t="shared" si="63"/>
        <v>46.027477622749721</v>
      </c>
      <c r="AU46" s="169">
        <f t="shared" si="64"/>
        <v>56.328875758857443</v>
      </c>
      <c r="AV46" s="225"/>
      <c r="AX46">
        <f t="shared" si="65"/>
        <v>0</v>
      </c>
      <c r="AY46">
        <f t="shared" si="66"/>
        <v>0</v>
      </c>
    </row>
    <row r="47" spans="1:51" x14ac:dyDescent="0.2">
      <c r="B47" s="211"/>
      <c r="N47" s="170">
        <v>29</v>
      </c>
      <c r="O47" s="199">
        <f t="shared" si="41"/>
        <v>19.498445997580465</v>
      </c>
      <c r="P47" s="189" t="str">
        <f t="shared" si="32"/>
        <v>771.276595744681</v>
      </c>
      <c r="Q47" s="160" t="str">
        <f t="shared" si="33"/>
        <v>1+124.962596392929i</v>
      </c>
      <c r="R47" s="160">
        <f t="shared" si="42"/>
        <v>124.96659752614724</v>
      </c>
      <c r="S47" s="160">
        <f t="shared" si="43"/>
        <v>1.5627941030609269</v>
      </c>
      <c r="T47" s="160" t="str">
        <f t="shared" si="34"/>
        <v>1+0.0000294029638571597i</v>
      </c>
      <c r="U47" s="160">
        <f t="shared" si="44"/>
        <v>1.0000000004322671</v>
      </c>
      <c r="V47" s="160">
        <f t="shared" si="45"/>
        <v>2.9402963848686408E-5</v>
      </c>
      <c r="W47" s="98" t="str">
        <f t="shared" si="35"/>
        <v>1-0.0000833083975952856i</v>
      </c>
      <c r="X47" s="160">
        <f t="shared" si="46"/>
        <v>1.0000000034701444</v>
      </c>
      <c r="Y47" s="160">
        <f t="shared" si="47"/>
        <v>-8.3308397402557486E-5</v>
      </c>
      <c r="Z47" s="98" t="str">
        <f t="shared" si="36"/>
        <v>0.999999847924241-0.000570396952327247i</v>
      </c>
      <c r="AA47" s="160">
        <f t="shared" si="48"/>
        <v>1.0000000106005942</v>
      </c>
      <c r="AB47" s="160">
        <f t="shared" si="49"/>
        <v>-5.7039697721073391E-4</v>
      </c>
      <c r="AC47" s="171" t="str">
        <f t="shared" si="50"/>
        <v>0.0525756989452892-6.17163802823322i</v>
      </c>
      <c r="AD47" s="190">
        <f t="shared" si="51"/>
        <v>15.808324092866677</v>
      </c>
      <c r="AE47" s="169">
        <f t="shared" si="52"/>
        <v>-89.511913567718381</v>
      </c>
      <c r="AF47" s="98" t="str">
        <f t="shared" si="37"/>
        <v>-0.0000119284294234592</v>
      </c>
      <c r="AG47" s="98" t="str">
        <f t="shared" si="38"/>
        <v>6.86338683835751E-07i</v>
      </c>
      <c r="AH47" s="98">
        <f t="shared" si="53"/>
        <v>6.8633868383575103E-7</v>
      </c>
      <c r="AI47" s="98">
        <f t="shared" si="54"/>
        <v>1.5707963267948966</v>
      </c>
      <c r="AJ47" s="98" t="str">
        <f t="shared" si="39"/>
        <v>1+0.000592726914117411i</v>
      </c>
      <c r="AK47" s="98">
        <f t="shared" si="55"/>
        <v>1.000000175662582</v>
      </c>
      <c r="AL47" s="98">
        <f t="shared" si="56"/>
        <v>5.9272684470412611E-4</v>
      </c>
      <c r="AM47" s="98" t="str">
        <f t="shared" si="40"/>
        <v>1+1.50935214466753i</v>
      </c>
      <c r="AN47" s="98">
        <f t="shared" si="57"/>
        <v>1.8105645242886188</v>
      </c>
      <c r="AO47" s="98">
        <f t="shared" si="58"/>
        <v>0.98565893103778957</v>
      </c>
      <c r="AP47" s="168" t="str">
        <f t="shared" si="59"/>
        <v>-26.2219285211015+17.3953429762292i</v>
      </c>
      <c r="AQ47" s="98">
        <f t="shared" si="60"/>
        <v>29.95717436318186</v>
      </c>
      <c r="AR47" s="169">
        <f t="shared" si="61"/>
        <v>146.44013604123606</v>
      </c>
      <c r="AS47" s="168" t="str">
        <f t="shared" si="62"/>
        <v>105.979124006565+162.746823549812i</v>
      </c>
      <c r="AT47" s="190">
        <f t="shared" si="63"/>
        <v>45.765498456048533</v>
      </c>
      <c r="AU47" s="169">
        <f t="shared" si="64"/>
        <v>56.928222473517863</v>
      </c>
      <c r="AV47" s="225"/>
      <c r="AX47">
        <f t="shared" si="65"/>
        <v>0</v>
      </c>
      <c r="AY47">
        <f t="shared" si="66"/>
        <v>0</v>
      </c>
    </row>
    <row r="48" spans="1:51" x14ac:dyDescent="0.2">
      <c r="A48" s="98" t="s">
        <v>245</v>
      </c>
      <c r="B48" s="211">
        <f>2*PI()*Fsw</f>
        <v>628318.53071795858</v>
      </c>
      <c r="C48" s="98" t="s">
        <v>251</v>
      </c>
      <c r="N48" s="170">
        <v>30</v>
      </c>
      <c r="O48" s="199">
        <f t="shared" si="41"/>
        <v>19.952623149688804</v>
      </c>
      <c r="P48" s="189" t="str">
        <f t="shared" si="32"/>
        <v>771.276595744681</v>
      </c>
      <c r="Q48" s="160" t="str">
        <f t="shared" si="33"/>
        <v>1+127.873349186092i</v>
      </c>
      <c r="R48" s="160">
        <f t="shared" si="42"/>
        <v>127.87725924521612</v>
      </c>
      <c r="S48" s="160">
        <f t="shared" si="43"/>
        <v>1.5629762483990488</v>
      </c>
      <c r="T48" s="160" t="str">
        <f t="shared" si="34"/>
        <v>1+0.0000300878468673158i</v>
      </c>
      <c r="U48" s="160">
        <f t="shared" si="44"/>
        <v>1.0000000004526393</v>
      </c>
      <c r="V48" s="160">
        <f t="shared" si="45"/>
        <v>3.0087846858236506E-5</v>
      </c>
      <c r="W48" s="98" t="str">
        <f t="shared" si="35"/>
        <v>1-0.0000852488994573947i</v>
      </c>
      <c r="X48" s="160">
        <f t="shared" si="46"/>
        <v>1.0000000036336874</v>
      </c>
      <c r="Y48" s="160">
        <f t="shared" si="47"/>
        <v>-8.5248899250882791E-5</v>
      </c>
      <c r="Z48" s="98" t="str">
        <f t="shared" si="36"/>
        <v>0.999999840757132-0.000583683204134772i</v>
      </c>
      <c r="AA48" s="160">
        <f t="shared" si="48"/>
        <v>1.0000000111001861</v>
      </c>
      <c r="AB48" s="160">
        <f t="shared" si="49"/>
        <v>-5.8368323079790801E-4</v>
      </c>
      <c r="AC48" s="171" t="str">
        <f t="shared" si="50"/>
        <v>0.0503530136908571-6.03117173756412i</v>
      </c>
      <c r="AD48" s="190">
        <f t="shared" si="51"/>
        <v>15.608336606572962</v>
      </c>
      <c r="AE48" s="169">
        <f t="shared" si="52"/>
        <v>-89.521660422254811</v>
      </c>
      <c r="AF48" s="98" t="str">
        <f t="shared" si="37"/>
        <v>-0.0000119284294234592</v>
      </c>
      <c r="AG48" s="98" t="str">
        <f t="shared" si="38"/>
        <v>7.0232556550032E-07i</v>
      </c>
      <c r="AH48" s="98">
        <f t="shared" si="53"/>
        <v>7.0232556550032004E-7</v>
      </c>
      <c r="AI48" s="98">
        <f t="shared" si="54"/>
        <v>1.5707963267948966</v>
      </c>
      <c r="AJ48" s="98" t="str">
        <f t="shared" si="39"/>
        <v>1+0.000606533297552544i</v>
      </c>
      <c r="AK48" s="98">
        <f t="shared" si="55"/>
        <v>1.0000001839413035</v>
      </c>
      <c r="AL48" s="98">
        <f t="shared" si="56"/>
        <v>6.0653322317487E-4</v>
      </c>
      <c r="AM48" s="98" t="str">
        <f t="shared" si="40"/>
        <v>1+1.54450947252221i</v>
      </c>
      <c r="AN48" s="98">
        <f t="shared" si="57"/>
        <v>1.8399754103549413</v>
      </c>
      <c r="AO48" s="98">
        <f t="shared" si="58"/>
        <v>0.99621246458410562</v>
      </c>
      <c r="AP48" s="168" t="str">
        <f t="shared" si="59"/>
        <v>-26.2219280869335+17.0000924465904i</v>
      </c>
      <c r="AQ48" s="98">
        <f t="shared" si="60"/>
        <v>29.897134539616886</v>
      </c>
      <c r="AR48" s="169">
        <f t="shared" si="61"/>
        <v>147.04401792517288</v>
      </c>
      <c r="AS48" s="168" t="str">
        <f t="shared" si="62"/>
        <v>101.210123995891+159.004957470061i</v>
      </c>
      <c r="AT48" s="190">
        <f t="shared" si="63"/>
        <v>45.505471146189834</v>
      </c>
      <c r="AU48" s="169">
        <f t="shared" si="64"/>
        <v>57.522357502918112</v>
      </c>
      <c r="AV48" s="225"/>
      <c r="AX48">
        <f t="shared" si="65"/>
        <v>0</v>
      </c>
      <c r="AY48">
        <f t="shared" si="66"/>
        <v>0</v>
      </c>
    </row>
    <row r="49" spans="1:51" x14ac:dyDescent="0.2">
      <c r="A49" s="98" t="s">
        <v>246</v>
      </c>
      <c r="B49" s="211">
        <f>1/(PI()*(((VIN_var/VOUT)*(1+(B45/B46)))-0.5))</f>
        <v>-0.68367988005636748</v>
      </c>
      <c r="N49" s="170">
        <v>31</v>
      </c>
      <c r="O49" s="199">
        <f t="shared" si="41"/>
        <v>20.4173794466953</v>
      </c>
      <c r="P49" s="189" t="str">
        <f t="shared" si="32"/>
        <v>771.276595744681</v>
      </c>
      <c r="Q49" s="160" t="str">
        <f t="shared" si="33"/>
        <v>1+130.851902121598i</v>
      </c>
      <c r="R49" s="160">
        <f t="shared" si="42"/>
        <v>130.85572317953947</v>
      </c>
      <c r="S49" s="160">
        <f t="shared" si="43"/>
        <v>1.5631542481044951</v>
      </c>
      <c r="T49" s="160" t="str">
        <f t="shared" si="34"/>
        <v>1+0.0000307886828521406i</v>
      </c>
      <c r="U49" s="160">
        <f t="shared" si="44"/>
        <v>1.0000000004739715</v>
      </c>
      <c r="V49" s="160">
        <f t="shared" si="45"/>
        <v>3.0788682842411959E-5</v>
      </c>
      <c r="W49" s="98" t="str">
        <f t="shared" si="35"/>
        <v>1-0.0000872346014143983i</v>
      </c>
      <c r="X49" s="160">
        <f t="shared" si="46"/>
        <v>1.0000000038049377</v>
      </c>
      <c r="Y49" s="160">
        <f t="shared" si="47"/>
        <v>-8.7234601193116813E-5</v>
      </c>
      <c r="Z49" s="98" t="str">
        <f t="shared" si="36"/>
        <v>0.999999833252247-0.000597278932503087i</v>
      </c>
      <c r="AA49" s="160">
        <f t="shared" si="48"/>
        <v>1.0000000116233225</v>
      </c>
      <c r="AB49" s="160">
        <f t="shared" si="49"/>
        <v>-5.9727896107315175E-4</v>
      </c>
      <c r="AC49" s="171" t="str">
        <f t="shared" si="50"/>
        <v>0.0482303537920399-5.89390168902766i</v>
      </c>
      <c r="AD49" s="190">
        <f t="shared" si="51"/>
        <v>15.408348556850699</v>
      </c>
      <c r="AE49" s="169">
        <f t="shared" si="52"/>
        <v>-89.531153693563923</v>
      </c>
      <c r="AF49" s="98" t="str">
        <f t="shared" si="37"/>
        <v>-0.0000119284294234592</v>
      </c>
      <c r="AG49" s="98" t="str">
        <f t="shared" si="38"/>
        <v>7.18684829476095E-07i</v>
      </c>
      <c r="AH49" s="98">
        <f t="shared" si="53"/>
        <v>7.1868482947609501E-7</v>
      </c>
      <c r="AI49" s="98">
        <f t="shared" si="54"/>
        <v>1.5707963267948966</v>
      </c>
      <c r="AJ49" s="98" t="str">
        <f t="shared" si="39"/>
        <v>1+0.000620661272970454i</v>
      </c>
      <c r="AK49" s="98">
        <f t="shared" si="55"/>
        <v>1.0000001926101894</v>
      </c>
      <c r="AL49" s="98">
        <f t="shared" si="56"/>
        <v>6.2066119327334123E-4</v>
      </c>
      <c r="AM49" s="98" t="str">
        <f t="shared" si="40"/>
        <v>1+1.58048571974322i</v>
      </c>
      <c r="AN49" s="98">
        <f t="shared" si="57"/>
        <v>1.8702767469848534</v>
      </c>
      <c r="AO49" s="98">
        <f t="shared" si="58"/>
        <v>1.0066670274093221</v>
      </c>
      <c r="AP49" s="168" t="str">
        <f t="shared" si="59"/>
        <v>-26.2219276323037+16.6138555909647i</v>
      </c>
      <c r="AQ49" s="98">
        <f t="shared" si="60"/>
        <v>29.839011569424674</v>
      </c>
      <c r="AR49" s="169">
        <f t="shared" si="61"/>
        <v>147.64221077865236</v>
      </c>
      <c r="AS49" s="168" t="str">
        <f t="shared" si="62"/>
        <v>96.6557386820332+155.350755694598i</v>
      </c>
      <c r="AT49" s="190">
        <f t="shared" si="63"/>
        <v>45.247360126275368</v>
      </c>
      <c r="AU49" s="169">
        <f t="shared" si="64"/>
        <v>58.11105708508844</v>
      </c>
      <c r="AV49" s="225"/>
      <c r="AX49">
        <f t="shared" si="65"/>
        <v>0</v>
      </c>
      <c r="AY49">
        <f t="shared" si="66"/>
        <v>0</v>
      </c>
    </row>
    <row r="50" spans="1:51" x14ac:dyDescent="0.2">
      <c r="A50" s="98" t="s">
        <v>544</v>
      </c>
      <c r="B50" s="209">
        <f>2*Fsw*((1-1/(B20/B17))/Dc_VIN_nom)^2</f>
        <v>200000</v>
      </c>
      <c r="C50" s="98" t="s">
        <v>251</v>
      </c>
      <c r="E50" s="98" t="s">
        <v>545</v>
      </c>
      <c r="N50" s="170">
        <v>32</v>
      </c>
      <c r="O50" s="199">
        <f t="shared" si="41"/>
        <v>20.8929613085404</v>
      </c>
      <c r="P50" s="189" t="str">
        <f t="shared" si="32"/>
        <v>771.276595744681</v>
      </c>
      <c r="Q50" s="160" t="str">
        <f t="shared" si="33"/>
        <v>1+133.899834467639i</v>
      </c>
      <c r="R50" s="160">
        <f t="shared" si="42"/>
        <v>133.90356855013658</v>
      </c>
      <c r="S50" s="160">
        <f t="shared" si="43"/>
        <v>1.5633281965099217</v>
      </c>
      <c r="T50" s="160" t="str">
        <f t="shared" si="34"/>
        <v>1+0.0000315058434041503i</v>
      </c>
      <c r="U50" s="160">
        <f t="shared" si="44"/>
        <v>1.000000000496309</v>
      </c>
      <c r="V50" s="160">
        <f t="shared" si="45"/>
        <v>3.1505843393725881E-5</v>
      </c>
      <c r="W50" s="98" t="str">
        <f t="shared" si="35"/>
        <v>1-0.0000892665563117591i</v>
      </c>
      <c r="X50" s="160">
        <f t="shared" si="46"/>
        <v>1.0000000039842589</v>
      </c>
      <c r="Y50" s="160">
        <f t="shared" si="47"/>
        <v>-8.9266556074651721E-5</v>
      </c>
      <c r="Z50" s="98" t="str">
        <f t="shared" si="36"/>
        <v>0.999999825393667-0.000611191346067342i</v>
      </c>
      <c r="AA50" s="160">
        <f t="shared" si="48"/>
        <v>1.000000012171113</v>
      </c>
      <c r="AB50" s="160">
        <f t="shared" si="49"/>
        <v>-6.1119137668071795E-4</v>
      </c>
      <c r="AC50" s="171" t="str">
        <f t="shared" si="50"/>
        <v>0.0462032184184848-5.75975520466906i</v>
      </c>
      <c r="AD50" s="190">
        <f t="shared" si="51"/>
        <v>15.208359969043499</v>
      </c>
      <c r="AE50" s="169">
        <f t="shared" si="52"/>
        <v>-89.540398412516794</v>
      </c>
      <c r="AF50" s="98" t="str">
        <f t="shared" si="37"/>
        <v>-0.0000119284294234592</v>
      </c>
      <c r="AG50" s="98" t="str">
        <f t="shared" si="38"/>
        <v>7.35425149661377E-07i</v>
      </c>
      <c r="AH50" s="98">
        <f t="shared" si="53"/>
        <v>7.3542514966137703E-7</v>
      </c>
      <c r="AI50" s="98">
        <f t="shared" si="54"/>
        <v>1.5707963267948966</v>
      </c>
      <c r="AJ50" s="98" t="str">
        <f t="shared" si="39"/>
        <v>1+0.000635118331210722i</v>
      </c>
      <c r="AK50" s="98">
        <f t="shared" si="55"/>
        <v>1.000000201687627</v>
      </c>
      <c r="AL50" s="98">
        <f t="shared" si="56"/>
        <v>6.3511824581372804E-4</v>
      </c>
      <c r="AM50" s="98" t="str">
        <f t="shared" si="40"/>
        <v>1+1.61729996141305i</v>
      </c>
      <c r="AN50" s="98">
        <f t="shared" si="57"/>
        <v>1.9014886708015521</v>
      </c>
      <c r="AO50" s="98">
        <f t="shared" si="58"/>
        <v>1.0170190211137342</v>
      </c>
      <c r="AP50" s="168" t="str">
        <f t="shared" si="59"/>
        <v>-26.2219271562481+16.2364276214571i</v>
      </c>
      <c r="AQ50" s="98">
        <f t="shared" si="60"/>
        <v>29.782768847732434</v>
      </c>
      <c r="AR50" s="169">
        <f t="shared" si="61"/>
        <v>148.2345079993664</v>
      </c>
      <c r="AS50" s="168" t="str">
        <f t="shared" si="62"/>
        <v>92.3063110701663+151.782056626383i</v>
      </c>
      <c r="AT50" s="190">
        <f t="shared" si="63"/>
        <v>44.991128816775927</v>
      </c>
      <c r="AU50" s="169">
        <f t="shared" si="64"/>
        <v>58.694109586849564</v>
      </c>
      <c r="AV50" s="225"/>
      <c r="AX50">
        <f t="shared" si="65"/>
        <v>0</v>
      </c>
      <c r="AY50">
        <f t="shared" si="66"/>
        <v>0</v>
      </c>
    </row>
    <row r="51" spans="1:51" x14ac:dyDescent="0.2">
      <c r="N51" s="170">
        <v>33</v>
      </c>
      <c r="O51" s="199">
        <f t="shared" si="41"/>
        <v>21.379620895022335</v>
      </c>
      <c r="P51" s="189" t="str">
        <f t="shared" si="32"/>
        <v>771.276595744681</v>
      </c>
      <c r="Q51" s="160" t="str">
        <f t="shared" si="33"/>
        <v>1+137.018762278287i</v>
      </c>
      <c r="R51" s="160">
        <f t="shared" si="42"/>
        <v>137.02241136497975</v>
      </c>
      <c r="S51" s="160">
        <f t="shared" si="43"/>
        <v>1.5634981858029451</v>
      </c>
      <c r="T51" s="160" t="str">
        <f t="shared" si="34"/>
        <v>1+0.0000322397087713617i</v>
      </c>
      <c r="U51" s="160">
        <f t="shared" si="44"/>
        <v>1.0000000005196994</v>
      </c>
      <c r="V51" s="160">
        <f t="shared" si="45"/>
        <v>3.2239708760191725E-5</v>
      </c>
      <c r="W51" s="98" t="str">
        <f t="shared" si="35"/>
        <v>1-0.0000913458415188582i</v>
      </c>
      <c r="X51" s="160">
        <f t="shared" si="46"/>
        <v>1.0000000041720314</v>
      </c>
      <c r="Y51" s="160">
        <f t="shared" si="47"/>
        <v>-9.1345841264793058E-5</v>
      </c>
      <c r="Z51" s="98" t="str">
        <f t="shared" si="36"/>
        <v>0.999999817164724-0.000625427821373351i</v>
      </c>
      <c r="AA51" s="160">
        <f t="shared" si="48"/>
        <v>1.0000000127447204</v>
      </c>
      <c r="AB51" s="160">
        <f t="shared" si="49"/>
        <v>-6.2542785417617414E-4</v>
      </c>
      <c r="AC51" s="171" t="str">
        <f t="shared" si="50"/>
        <v>0.044267309218001-5.62866125571895i</v>
      </c>
      <c r="AD51" s="190">
        <f t="shared" si="51"/>
        <v>15.008370867354145</v>
      </c>
      <c r="AE51" s="169">
        <f t="shared" si="52"/>
        <v>-89.549399478371384</v>
      </c>
      <c r="AF51" s="98" t="str">
        <f t="shared" si="37"/>
        <v>-0.0000119284294234592</v>
      </c>
      <c r="AG51" s="98" t="str">
        <f t="shared" si="38"/>
        <v>7.52555401995512E-07i</v>
      </c>
      <c r="AH51" s="98">
        <f t="shared" si="53"/>
        <v>7.52555401995512E-7</v>
      </c>
      <c r="AI51" s="98">
        <f t="shared" si="54"/>
        <v>1.5707963267948966</v>
      </c>
      <c r="AJ51" s="98" t="str">
        <f t="shared" si="39"/>
        <v>1+0.000649912137596977i</v>
      </c>
      <c r="AK51" s="98">
        <f t="shared" si="55"/>
        <v>1.000000211192871</v>
      </c>
      <c r="AL51" s="98">
        <f t="shared" si="56"/>
        <v>6.4991204609245038E-4</v>
      </c>
      <c r="AM51" s="98" t="str">
        <f t="shared" si="40"/>
        <v>1+1.6549717169299i</v>
      </c>
      <c r="AN51" s="98">
        <f t="shared" si="57"/>
        <v>1.9336316567117695</v>
      </c>
      <c r="AO51" s="98">
        <f t="shared" si="58"/>
        <v>1.0272650592499382</v>
      </c>
      <c r="AP51" s="168" t="str">
        <f t="shared" si="59"/>
        <v>-26.2219266577565+15.8676084207604i</v>
      </c>
      <c r="AQ51" s="98">
        <f t="shared" si="60"/>
        <v>29.728368872555265</v>
      </c>
      <c r="AR51" s="169">
        <f t="shared" si="61"/>
        <v>148.82071511898209</v>
      </c>
      <c r="AS51" s="168" t="str">
        <f t="shared" si="62"/>
        <v>88.1526186032032+148.29675895733i</v>
      </c>
      <c r="AT51" s="190">
        <f t="shared" si="63"/>
        <v>44.736739739909417</v>
      </c>
      <c r="AU51" s="169">
        <f t="shared" si="64"/>
        <v>59.27131564061073</v>
      </c>
      <c r="AV51" s="225"/>
      <c r="AX51">
        <f t="shared" si="65"/>
        <v>0</v>
      </c>
      <c r="AY51">
        <f t="shared" si="66"/>
        <v>0</v>
      </c>
    </row>
    <row r="52" spans="1:51" x14ac:dyDescent="0.2">
      <c r="N52" s="170">
        <v>34</v>
      </c>
      <c r="O52" s="199">
        <f t="shared" si="41"/>
        <v>21.877616239495538</v>
      </c>
      <c r="P52" s="189" t="str">
        <f t="shared" si="32"/>
        <v>771.276595744681</v>
      </c>
      <c r="Q52" s="160" t="str">
        <f t="shared" si="33"/>
        <v>1+140.210339250354i</v>
      </c>
      <c r="R52" s="160">
        <f t="shared" si="42"/>
        <v>140.21390527582977</v>
      </c>
      <c r="S52" s="160">
        <f t="shared" si="43"/>
        <v>1.563664306074819</v>
      </c>
      <c r="T52" s="160" t="str">
        <f t="shared" si="34"/>
        <v>1+0.0000329906680589069i</v>
      </c>
      <c r="U52" s="160">
        <f t="shared" si="44"/>
        <v>1.000000000544192</v>
      </c>
      <c r="V52" s="160">
        <f t="shared" si="45"/>
        <v>3.2990668046938061E-5</v>
      </c>
      <c r="W52" s="98" t="str">
        <f t="shared" si="35"/>
        <v>1-0.000093473559500236i</v>
      </c>
      <c r="X52" s="160">
        <f t="shared" si="46"/>
        <v>1.0000000043686532</v>
      </c>
      <c r="Y52" s="160">
        <f t="shared" si="47"/>
        <v>-9.3473559228000283E-5</v>
      </c>
      <c r="Z52" s="98" t="str">
        <f t="shared" si="36"/>
        <v>0.999999808547963-0.00063999590678877i</v>
      </c>
      <c r="AA52" s="160">
        <f t="shared" si="48"/>
        <v>1.0000000133453617</v>
      </c>
      <c r="AB52" s="160">
        <f t="shared" si="49"/>
        <v>-6.3999594193762802E-4</v>
      </c>
      <c r="AC52" s="171" t="str">
        <f t="shared" si="50"/>
        <v>0.0424185212116801-5.50055042539769i</v>
      </c>
      <c r="AD52" s="190">
        <f t="shared" si="51"/>
        <v>14.808381274895366</v>
      </c>
      <c r="AE52" s="169">
        <f t="shared" si="52"/>
        <v>-89.558161661358596</v>
      </c>
      <c r="AF52" s="98" t="str">
        <f t="shared" si="37"/>
        <v>-0.0000119284294234592</v>
      </c>
      <c r="AG52" s="98" t="str">
        <f t="shared" si="38"/>
        <v>7.70084669165033E-07i</v>
      </c>
      <c r="AH52" s="98">
        <f t="shared" si="53"/>
        <v>7.7008466916503296E-7</v>
      </c>
      <c r="AI52" s="98">
        <f t="shared" si="54"/>
        <v>1.5707963267948966</v>
      </c>
      <c r="AJ52" s="98" t="str">
        <f t="shared" si="39"/>
        <v>1+0.000665050536001192i</v>
      </c>
      <c r="AK52" s="98">
        <f t="shared" si="55"/>
        <v>1.0000002211460832</v>
      </c>
      <c r="AL52" s="98">
        <f t="shared" si="56"/>
        <v>6.6505043795232646E-4</v>
      </c>
      <c r="AM52" s="98" t="str">
        <f t="shared" si="40"/>
        <v>1+1.69352096035722i</v>
      </c>
      <c r="AN52" s="98">
        <f t="shared" si="57"/>
        <v>1.9667265298381575</v>
      </c>
      <c r="AO52" s="98">
        <f t="shared" si="58"/>
        <v>1.037401968838676</v>
      </c>
      <c r="AP52" s="168" t="str">
        <f t="shared" si="59"/>
        <v>-26.2219261357719+15.5072024360504i</v>
      </c>
      <c r="AQ52" s="98">
        <f t="shared" si="60"/>
        <v>29.675773358090307</v>
      </c>
      <c r="AR52" s="169">
        <f t="shared" si="61"/>
        <v>149.40064988976042</v>
      </c>
      <c r="AS52" s="168" t="str">
        <f t="shared" si="62"/>
        <v>84.1858536263438+144.892819556334i</v>
      </c>
      <c r="AT52" s="190">
        <f t="shared" si="63"/>
        <v>44.484154632985657</v>
      </c>
      <c r="AU52" s="169">
        <f t="shared" si="64"/>
        <v>59.84248822840177</v>
      </c>
      <c r="AV52" s="225"/>
      <c r="AX52">
        <f t="shared" si="65"/>
        <v>0</v>
      </c>
      <c r="AY52">
        <f t="shared" si="66"/>
        <v>0</v>
      </c>
    </row>
    <row r="53" spans="1:51" ht="16" x14ac:dyDescent="0.2">
      <c r="A53" s="212" t="s">
        <v>261</v>
      </c>
      <c r="N53" s="170">
        <v>35</v>
      </c>
      <c r="O53" s="199">
        <f t="shared" si="41"/>
        <v>22.387211385683404</v>
      </c>
      <c r="P53" s="189" t="str">
        <f t="shared" si="32"/>
        <v>771.276595744681</v>
      </c>
      <c r="Q53" s="160" t="str">
        <f t="shared" si="33"/>
        <v>1+143.476257600195i</v>
      </c>
      <c r="R53" s="160">
        <f t="shared" si="42"/>
        <v>143.4797424550153</v>
      </c>
      <c r="S53" s="160">
        <f t="shared" si="43"/>
        <v>1.5638266453680154</v>
      </c>
      <c r="T53" s="160" t="str">
        <f t="shared" si="34"/>
        <v>1+0.00003375911943534i</v>
      </c>
      <c r="U53" s="160">
        <f t="shared" si="44"/>
        <v>1.0000000005698391</v>
      </c>
      <c r="V53" s="160">
        <f t="shared" si="45"/>
        <v>3.3759119422515157E-5</v>
      </c>
      <c r="W53" s="98" t="str">
        <f t="shared" si="35"/>
        <v>1-0.0000956508384001298i</v>
      </c>
      <c r="X53" s="160">
        <f t="shared" si="46"/>
        <v>1.0000000045745414</v>
      </c>
      <c r="Y53" s="160">
        <f t="shared" si="47"/>
        <v>-9.5650838108423991E-5</v>
      </c>
      <c r="Z53" s="98" t="str">
        <f t="shared" si="36"/>
        <v>0.999999799525107-0.000654903326505316i</v>
      </c>
      <c r="AA53" s="160">
        <f t="shared" si="48"/>
        <v>1.0000000139743106</v>
      </c>
      <c r="AB53" s="160">
        <f t="shared" si="49"/>
        <v>-6.5490336416799532E-4</v>
      </c>
      <c r="AC53" s="171" t="str">
        <f t="shared" si="50"/>
        <v>0.0406529340981019-5.37535487254425i</v>
      </c>
      <c r="AD53" s="190">
        <f t="shared" si="51"/>
        <v>14.60839121373964</v>
      </c>
      <c r="AE53" s="169">
        <f t="shared" si="52"/>
        <v>-89.566689605200764</v>
      </c>
      <c r="AF53" s="98" t="str">
        <f t="shared" si="37"/>
        <v>-0.0000119284294234592</v>
      </c>
      <c r="AG53" s="98" t="str">
        <f t="shared" si="38"/>
        <v>7.88022245419421E-07i</v>
      </c>
      <c r="AH53" s="98">
        <f t="shared" si="53"/>
        <v>7.8802224541942099E-7</v>
      </c>
      <c r="AI53" s="98">
        <f t="shared" si="54"/>
        <v>1.5707963267948966</v>
      </c>
      <c r="AJ53" s="98" t="str">
        <f t="shared" si="39"/>
        <v>1+0.000680541553002581i</v>
      </c>
      <c r="AK53" s="98">
        <f t="shared" si="55"/>
        <v>1.0000002315683758</v>
      </c>
      <c r="AL53" s="98">
        <f t="shared" si="56"/>
        <v>6.8054144794132997E-4</v>
      </c>
      <c r="AM53" s="98" t="str">
        <f t="shared" si="40"/>
        <v>1+1.73296813101412i</v>
      </c>
      <c r="AN53" s="98">
        <f t="shared" si="57"/>
        <v>2.0007944779788285</v>
      </c>
      <c r="AO53" s="98">
        <f t="shared" si="58"/>
        <v>1.0474267909969304</v>
      </c>
      <c r="AP53" s="168" t="str">
        <f t="shared" si="59"/>
        <v>-26.2219255891869+15.1550185753016i</v>
      </c>
      <c r="AQ53" s="98">
        <f t="shared" si="60"/>
        <v>29.624943346376412</v>
      </c>
      <c r="AR53" s="169">
        <f t="shared" si="61"/>
        <v>149.97414232030459</v>
      </c>
      <c r="AS53" s="168" t="str">
        <f t="shared" si="62"/>
        <v>80.3976047293435+141.568251454726i</v>
      </c>
      <c r="AT53" s="190">
        <f t="shared" si="63"/>
        <v>44.233334560116063</v>
      </c>
      <c r="AU53" s="169">
        <f t="shared" si="64"/>
        <v>60.407452715103886</v>
      </c>
      <c r="AV53" s="225"/>
      <c r="AX53">
        <f t="shared" si="65"/>
        <v>0</v>
      </c>
      <c r="AY53">
        <f t="shared" si="66"/>
        <v>0</v>
      </c>
    </row>
    <row r="54" spans="1:51" x14ac:dyDescent="0.2">
      <c r="A54" s="98" t="s">
        <v>226</v>
      </c>
      <c r="N54" s="170">
        <v>36</v>
      </c>
      <c r="O54" s="199">
        <f t="shared" si="41"/>
        <v>22.908676527677727</v>
      </c>
      <c r="P54" s="189" t="str">
        <f t="shared" si="32"/>
        <v>771.276595744681</v>
      </c>
      <c r="Q54" s="160" t="str">
        <f t="shared" si="33"/>
        <v>1+146.818248960948i</v>
      </c>
      <c r="R54" s="160">
        <f t="shared" si="42"/>
        <v>146.8216544926494</v>
      </c>
      <c r="S54" s="160">
        <f t="shared" si="43"/>
        <v>1.5639852897227307</v>
      </c>
      <c r="T54" s="160" t="str">
        <f t="shared" si="34"/>
        <v>1+0.0000345454703437524i</v>
      </c>
      <c r="U54" s="160">
        <f t="shared" si="44"/>
        <v>1.0000000005966947</v>
      </c>
      <c r="V54" s="160">
        <f t="shared" si="45"/>
        <v>3.4545470330010333E-5</v>
      </c>
      <c r="W54" s="98" t="str">
        <f t="shared" si="35"/>
        <v>1-0.0000978788326406317i</v>
      </c>
      <c r="X54" s="160">
        <f t="shared" si="46"/>
        <v>1.000000004790133</v>
      </c>
      <c r="Y54" s="160">
        <f t="shared" si="47"/>
        <v>-9.7878832328063283E-5</v>
      </c>
      <c r="Z54" s="98" t="str">
        <f t="shared" si="36"/>
        <v>0.999999790077016-0.000670157984634244i</v>
      </c>
      <c r="AA54" s="160">
        <f t="shared" si="48"/>
        <v>1.0000000146329</v>
      </c>
      <c r="AB54" s="160">
        <f t="shared" si="49"/>
        <v>-6.7015802499053201E-4</v>
      </c>
      <c r="AC54" s="171" t="str">
        <f t="shared" si="50"/>
        <v>0.038966803948244-5.25300829605066i</v>
      </c>
      <c r="AD54" s="190">
        <f t="shared" si="51"/>
        <v>14.408400704965487</v>
      </c>
      <c r="AE54" s="169">
        <f t="shared" si="52"/>
        <v>-89.574987829563838</v>
      </c>
      <c r="AF54" s="98" t="str">
        <f t="shared" si="37"/>
        <v>-0.0000119284294234592</v>
      </c>
      <c r="AG54" s="98" t="str">
        <f t="shared" si="38"/>
        <v>8.06377641499038E-07i</v>
      </c>
      <c r="AH54" s="98">
        <f t="shared" si="53"/>
        <v>8.0637764149903795E-7</v>
      </c>
      <c r="AI54" s="98">
        <f t="shared" si="54"/>
        <v>1.5707963267948966</v>
      </c>
      <c r="AJ54" s="98" t="str">
        <f t="shared" si="39"/>
        <v>1+0.000696393402143402i</v>
      </c>
      <c r="AK54" s="98">
        <f t="shared" si="55"/>
        <v>1.0000002424818559</v>
      </c>
      <c r="AL54" s="98">
        <f t="shared" si="56"/>
        <v>6.9639328956824472E-4</v>
      </c>
      <c r="AM54" s="98" t="str">
        <f t="shared" si="40"/>
        <v>1+1.77333414431262i</v>
      </c>
      <c r="AN54" s="98">
        <f t="shared" si="57"/>
        <v>2.0358570645762368</v>
      </c>
      <c r="AO54" s="98">
        <f t="shared" si="58"/>
        <v>1.0573367807179348</v>
      </c>
      <c r="AP54" s="168" t="str">
        <f t="shared" si="59"/>
        <v>-26.2219250168421+14.8108701059665i</v>
      </c>
      <c r="AQ54" s="98">
        <f t="shared" si="60"/>
        <v>29.575839316763975</v>
      </c>
      <c r="AR54" s="169">
        <f t="shared" si="61"/>
        <v>150.54103466271363</v>
      </c>
      <c r="AS54" s="168" t="str">
        <f t="shared" si="62"/>
        <v>76.7798389270939+138.321121923612i</v>
      </c>
      <c r="AT54" s="190">
        <f t="shared" si="63"/>
        <v>43.984240021729455</v>
      </c>
      <c r="AU54" s="169">
        <f t="shared" si="64"/>
        <v>60.966046833149811</v>
      </c>
      <c r="AV54" s="225"/>
      <c r="AX54">
        <f t="shared" si="65"/>
        <v>0</v>
      </c>
      <c r="AY54">
        <f t="shared" si="66"/>
        <v>0</v>
      </c>
    </row>
    <row r="55" spans="1:51" x14ac:dyDescent="0.2">
      <c r="A55" s="98" t="s">
        <v>224</v>
      </c>
      <c r="B55" s="187">
        <f>RFBT</f>
        <v>50000</v>
      </c>
      <c r="C55" s="206" t="s">
        <v>36</v>
      </c>
      <c r="E55" s="98" t="s">
        <v>227</v>
      </c>
      <c r="N55" s="170">
        <v>37</v>
      </c>
      <c r="O55" s="199">
        <f t="shared" si="41"/>
        <v>23.442288153199236</v>
      </c>
      <c r="P55" s="189" t="str">
        <f t="shared" si="32"/>
        <v>771.276595744681</v>
      </c>
      <c r="Q55" s="160" t="str">
        <f t="shared" si="33"/>
        <v>1+150.238085300669i</v>
      </c>
      <c r="R55" s="160">
        <f t="shared" si="42"/>
        <v>150.24141331474189</v>
      </c>
      <c r="S55" s="160">
        <f t="shared" si="43"/>
        <v>1.5641403232223408</v>
      </c>
      <c r="T55" s="160" t="str">
        <f t="shared" si="34"/>
        <v>1+0.0000353501377178045i</v>
      </c>
      <c r="U55" s="160">
        <f t="shared" si="44"/>
        <v>1.000000000624816</v>
      </c>
      <c r="V55" s="160">
        <f t="shared" si="45"/>
        <v>3.535013770307961E-5</v>
      </c>
      <c r="W55" s="98" t="str">
        <f t="shared" si="35"/>
        <v>1-0.000100158723533779i</v>
      </c>
      <c r="X55" s="160">
        <f t="shared" si="46"/>
        <v>1.0000000050158848</v>
      </c>
      <c r="Y55" s="160">
        <f t="shared" si="47"/>
        <v>-1.0015872319885592E-4</v>
      </c>
      <c r="Z55" s="98" t="str">
        <f t="shared" si="36"/>
        <v>0.99999978018365-0.000685767969397216i</v>
      </c>
      <c r="AA55" s="160">
        <f t="shared" si="48"/>
        <v>1.0000000153225279</v>
      </c>
      <c r="AB55" s="160">
        <f t="shared" si="49"/>
        <v>-6.8576801263975763E-4</v>
      </c>
      <c r="AC55" s="171" t="str">
        <f t="shared" si="50"/>
        <v>0.0373565552735984-5.13344590008634i</v>
      </c>
      <c r="AD55" s="190">
        <f t="shared" si="51"/>
        <v>14.208409768702133</v>
      </c>
      <c r="AE55" s="169">
        <f t="shared" si="52"/>
        <v>-89.583060732444338</v>
      </c>
      <c r="AF55" s="98" t="str">
        <f t="shared" si="37"/>
        <v>-0.0000119284294234592</v>
      </c>
      <c r="AG55" s="98" t="str">
        <f t="shared" si="38"/>
        <v>8.25160589677848E-07i</v>
      </c>
      <c r="AH55" s="98">
        <f t="shared" si="53"/>
        <v>8.2516058967784799E-7</v>
      </c>
      <c r="AI55" s="98">
        <f t="shared" si="54"/>
        <v>1.5707963267948966</v>
      </c>
      <c r="AJ55" s="98" t="str">
        <f t="shared" si="39"/>
        <v>1+0.000712614488283897i</v>
      </c>
      <c r="AK55" s="98">
        <f t="shared" si="55"/>
        <v>1.0000002539096722</v>
      </c>
      <c r="AL55" s="98">
        <f t="shared" si="56"/>
        <v>7.126143676574444E-4</v>
      </c>
      <c r="AM55" s="98" t="str">
        <f t="shared" si="40"/>
        <v>1+1.8146404028473i</v>
      </c>
      <c r="AN55" s="98">
        <f t="shared" si="57"/>
        <v>2.0719362421768222</v>
      </c>
      <c r="AO55" s="98">
        <f t="shared" si="58"/>
        <v>1.0671294058470606</v>
      </c>
      <c r="AP55" s="168" t="str">
        <f t="shared" si="59"/>
        <v>-26.2219244175236+14.4745745559691i</v>
      </c>
      <c r="AQ55" s="98">
        <f t="shared" si="60"/>
        <v>29.528421292688023</v>
      </c>
      <c r="AR55" s="169">
        <f t="shared" si="61"/>
        <v>151.10118135365261</v>
      </c>
      <c r="AS55" s="168" t="str">
        <f t="shared" si="62"/>
        <v>73.3248846409503+135.149550637972i</v>
      </c>
      <c r="AT55" s="190">
        <f t="shared" si="63"/>
        <v>43.736831061390149</v>
      </c>
      <c r="AU55" s="169">
        <f t="shared" si="64"/>
        <v>61.51812062120819</v>
      </c>
      <c r="AV55" s="225"/>
      <c r="AX55">
        <f t="shared" si="65"/>
        <v>0</v>
      </c>
      <c r="AY55">
        <f t="shared" si="66"/>
        <v>0</v>
      </c>
    </row>
    <row r="56" spans="1:51" x14ac:dyDescent="0.2">
      <c r="A56" s="98" t="s">
        <v>225</v>
      </c>
      <c r="B56" s="187">
        <f>RFBB</f>
        <v>300</v>
      </c>
      <c r="C56" s="206" t="s">
        <v>36</v>
      </c>
      <c r="E56" s="98" t="s">
        <v>228</v>
      </c>
      <c r="N56" s="170">
        <v>38</v>
      </c>
      <c r="O56" s="199">
        <f t="shared" si="41"/>
        <v>23.988329190194907</v>
      </c>
      <c r="P56" s="189" t="str">
        <f t="shared" si="32"/>
        <v>771.276595744681</v>
      </c>
      <c r="Q56" s="160" t="str">
        <f t="shared" si="33"/>
        <v>1+153.737579861852i</v>
      </c>
      <c r="R56" s="160">
        <f t="shared" si="42"/>
        <v>153.74083212269704</v>
      </c>
      <c r="S56" s="160">
        <f t="shared" si="43"/>
        <v>1.5642918280378322</v>
      </c>
      <c r="T56" s="160" t="str">
        <f t="shared" si="34"/>
        <v>1+0.0000361735482027888i</v>
      </c>
      <c r="U56" s="160">
        <f t="shared" si="44"/>
        <v>1.0000000006542626</v>
      </c>
      <c r="V56" s="160">
        <f t="shared" si="45"/>
        <v>3.61735481870108E-5</v>
      </c>
      <c r="W56" s="98" t="str">
        <f t="shared" si="35"/>
        <v>1-0.000102491719907901i</v>
      </c>
      <c r="X56" s="160">
        <f t="shared" si="46"/>
        <v>1.0000000052522762</v>
      </c>
      <c r="Y56" s="160">
        <f t="shared" si="47"/>
        <v>-1.0249171954902444E-4</v>
      </c>
      <c r="Z56" s="98" t="str">
        <f t="shared" si="36"/>
        <v>0.999999769824025-0.000701741557414772i</v>
      </c>
      <c r="AA56" s="160">
        <f t="shared" si="48"/>
        <v>1.000000016044658</v>
      </c>
      <c r="AB56" s="160">
        <f t="shared" si="49"/>
        <v>-7.0174160374998954E-4</v>
      </c>
      <c r="AC56" s="171" t="str">
        <f t="shared" si="50"/>
        <v>0.0358187734507332-5.01660436009547i</v>
      </c>
      <c r="AD56" s="190">
        <f t="shared" si="51"/>
        <v>14.008418424172431</v>
      </c>
      <c r="AE56" s="169">
        <f t="shared" si="52"/>
        <v>-89.590912592492558</v>
      </c>
      <c r="AF56" s="98" t="str">
        <f t="shared" si="37"/>
        <v>-0.0000119284294234592</v>
      </c>
      <c r="AG56" s="98" t="str">
        <f t="shared" si="38"/>
        <v>8.44381048923596E-07i</v>
      </c>
      <c r="AH56" s="98">
        <f t="shared" si="53"/>
        <v>8.4438104892359603E-7</v>
      </c>
      <c r="AI56" s="98">
        <f t="shared" si="54"/>
        <v>1.5707963267948966</v>
      </c>
      <c r="AJ56" s="98" t="str">
        <f t="shared" si="39"/>
        <v>1+0.000729213412058645i</v>
      </c>
      <c r="AK56" s="98">
        <f t="shared" si="55"/>
        <v>1.0000002658760647</v>
      </c>
      <c r="AL56" s="98">
        <f t="shared" si="56"/>
        <v>7.292132828050741E-4</v>
      </c>
      <c r="AM56" s="98" t="str">
        <f t="shared" si="40"/>
        <v>1+1.85690880774316i</v>
      </c>
      <c r="AN56" s="98">
        <f t="shared" si="57"/>
        <v>2.1090543663628312</v>
      </c>
      <c r="AO56" s="98">
        <f t="shared" si="58"/>
        <v>1.0768023453012638</v>
      </c>
      <c r="AP56" s="168" t="str">
        <f t="shared" si="59"/>
        <v>-26.22192378996+14.1459536169547i</v>
      </c>
      <c r="AQ56" s="98">
        <f t="shared" si="60"/>
        <v>29.482648945288837</v>
      </c>
      <c r="AR56" s="169">
        <f t="shared" si="61"/>
        <v>151.65444891208153</v>
      </c>
      <c r="AS56" s="168" t="str">
        <f t="shared" si="62"/>
        <v>70.0254154448482+132.051707922655i</v>
      </c>
      <c r="AT56" s="190">
        <f t="shared" si="63"/>
        <v>43.491067369461277</v>
      </c>
      <c r="AU56" s="169">
        <f t="shared" si="64"/>
        <v>62.063536319589048</v>
      </c>
      <c r="AV56" s="225"/>
      <c r="AX56">
        <f t="shared" si="65"/>
        <v>0</v>
      </c>
      <c r="AY56">
        <f t="shared" si="66"/>
        <v>0</v>
      </c>
    </row>
    <row r="57" spans="1:51" x14ac:dyDescent="0.2">
      <c r="A57" s="98" t="s">
        <v>214</v>
      </c>
      <c r="B57" s="187">
        <f>RCOMP</f>
        <v>2200000</v>
      </c>
      <c r="C57" s="206" t="s">
        <v>36</v>
      </c>
      <c r="E57" s="98" t="s">
        <v>221</v>
      </c>
      <c r="N57" s="170">
        <v>39</v>
      </c>
      <c r="O57" s="199">
        <f t="shared" si="41"/>
        <v>24.547089156850316</v>
      </c>
      <c r="P57" s="189" t="str">
        <f t="shared" si="32"/>
        <v>771.276595744681</v>
      </c>
      <c r="Q57" s="160" t="str">
        <f t="shared" si="33"/>
        <v>1+157.318588122836i</v>
      </c>
      <c r="R57" s="160">
        <f t="shared" si="42"/>
        <v>157.32176635469904</v>
      </c>
      <c r="S57" s="160">
        <f t="shared" si="43"/>
        <v>1.5644398844712264</v>
      </c>
      <c r="T57" s="160" t="str">
        <f t="shared" si="34"/>
        <v>1+0.0000370161383818437i</v>
      </c>
      <c r="U57" s="160">
        <f t="shared" si="44"/>
        <v>1.0000000006850971</v>
      </c>
      <c r="V57" s="160">
        <f t="shared" si="45"/>
        <v>3.7016138364937264E-5</v>
      </c>
      <c r="W57" s="98" t="str">
        <f t="shared" si="35"/>
        <v>1-0.000104879058748557i</v>
      </c>
      <c r="X57" s="160">
        <f t="shared" si="46"/>
        <v>1.0000000054998084</v>
      </c>
      <c r="Y57" s="160">
        <f t="shared" si="47"/>
        <v>-1.0487905836401384E-4</v>
      </c>
      <c r="Z57" s="98" t="str">
        <f t="shared" si="36"/>
        <v>0.999999758976166-0.000718087218094717i</v>
      </c>
      <c r="AA57" s="160">
        <f t="shared" si="48"/>
        <v>1.0000000168008212</v>
      </c>
      <c r="AB57" s="160">
        <f t="shared" si="49"/>
        <v>-7.1808726774379638E-4</v>
      </c>
      <c r="AC57" s="171" t="str">
        <f t="shared" si="50"/>
        <v>0.0343501974863104-4.90242178955056i</v>
      </c>
      <c r="AD57" s="190">
        <f t="shared" si="51"/>
        <v>13.80842668973326</v>
      </c>
      <c r="AE57" s="169">
        <f t="shared" si="52"/>
        <v>-89.598547571272945</v>
      </c>
      <c r="AF57" s="98" t="str">
        <f t="shared" si="37"/>
        <v>-0.0000119284294234592</v>
      </c>
      <c r="AG57" s="98" t="str">
        <f t="shared" si="38"/>
        <v>8.64049210178189E-07i</v>
      </c>
      <c r="AH57" s="98">
        <f t="shared" si="53"/>
        <v>8.6404921017818895E-7</v>
      </c>
      <c r="AI57" s="98">
        <f t="shared" si="54"/>
        <v>1.5707963267948966</v>
      </c>
      <c r="AJ57" s="98" t="str">
        <f t="shared" si="39"/>
        <v>1+0.000746198974436748i</v>
      </c>
      <c r="AK57" s="98">
        <f t="shared" si="55"/>
        <v>1.0000002784064159</v>
      </c>
      <c r="AL57" s="98">
        <f t="shared" si="56"/>
        <v>7.4619883593905355E-4</v>
      </c>
      <c r="AM57" s="98" t="str">
        <f t="shared" si="40"/>
        <v>1+1.90016177026798i</v>
      </c>
      <c r="AN57" s="98">
        <f t="shared" si="57"/>
        <v>2.1472342101382291</v>
      </c>
      <c r="AO57" s="98">
        <f t="shared" si="58"/>
        <v>1.0863534865827953</v>
      </c>
      <c r="AP57" s="168" t="str">
        <f t="shared" si="59"/>
        <v>-26.2219231328203+13.8248330497487i</v>
      </c>
      <c r="AQ57" s="98">
        <f t="shared" si="60"/>
        <v>29.438481693478387</v>
      </c>
      <c r="AR57" s="169">
        <f t="shared" si="61"/>
        <v>152.20071579653916</v>
      </c>
      <c r="AS57" s="168" t="str">
        <f t="shared" si="62"/>
        <v>66.8744345419035+129.025813075732i</v>
      </c>
      <c r="AT57" s="190">
        <f t="shared" si="63"/>
        <v>43.24690838321164</v>
      </c>
      <c r="AU57" s="169">
        <f t="shared" si="64"/>
        <v>62.602168225266176</v>
      </c>
      <c r="AV57" s="225"/>
      <c r="AX57">
        <f t="shared" si="65"/>
        <v>0</v>
      </c>
      <c r="AY57">
        <f t="shared" si="66"/>
        <v>0</v>
      </c>
    </row>
    <row r="58" spans="1:51" x14ac:dyDescent="0.2">
      <c r="A58" s="98" t="s">
        <v>219</v>
      </c>
      <c r="B58" s="187">
        <f>CCOMP</f>
        <v>5.5999999999999997E-9</v>
      </c>
      <c r="C58" s="206" t="s">
        <v>193</v>
      </c>
      <c r="E58" s="98" t="s">
        <v>222</v>
      </c>
      <c r="N58" s="170">
        <v>40</v>
      </c>
      <c r="O58" s="199">
        <f t="shared" si="41"/>
        <v>25.118864315095799</v>
      </c>
      <c r="P58" s="189" t="str">
        <f t="shared" si="32"/>
        <v>771.276595744681</v>
      </c>
      <c r="Q58" s="160" t="str">
        <f t="shared" si="33"/>
        <v>1+160.983008781601i</v>
      </c>
      <c r="R58" s="160">
        <f t="shared" si="42"/>
        <v>160.9861146694864</v>
      </c>
      <c r="S58" s="160">
        <f t="shared" si="43"/>
        <v>1.5645845709980253</v>
      </c>
      <c r="T58" s="160" t="str">
        <f t="shared" si="34"/>
        <v>1+0.0000378783550074355i</v>
      </c>
      <c r="U58" s="160">
        <f t="shared" si="44"/>
        <v>1.0000000007173848</v>
      </c>
      <c r="V58" s="160">
        <f t="shared" si="45"/>
        <v>3.7878354989319928E-5</v>
      </c>
      <c r="W58" s="98" t="str">
        <f t="shared" si="35"/>
        <v>1-0.0001073220058544i</v>
      </c>
      <c r="X58" s="160">
        <f t="shared" si="46"/>
        <v>1.0000000057590064</v>
      </c>
      <c r="Y58" s="160">
        <f t="shared" si="47"/>
        <v>-1.0732200544235459E-4</v>
      </c>
      <c r="Z58" s="98" t="str">
        <f t="shared" si="36"/>
        <v>0.999999747617062-0.000734813618122708i</v>
      </c>
      <c r="AA58" s="160">
        <f t="shared" si="48"/>
        <v>1.0000000175926205</v>
      </c>
      <c r="AB58" s="160">
        <f t="shared" si="49"/>
        <v>-7.3481367132265509E-4</v>
      </c>
      <c r="AC58" s="171" t="str">
        <f t="shared" si="50"/>
        <v>0.0329477131072822-4.79083770744699i</v>
      </c>
      <c r="AD58" s="190">
        <f t="shared" si="51"/>
        <v>13.608434582914944</v>
      </c>
      <c r="AE58" s="169">
        <f t="shared" si="52"/>
        <v>-89.60596971546299</v>
      </c>
      <c r="AF58" s="98" t="str">
        <f t="shared" si="37"/>
        <v>-0.0000119284294234592</v>
      </c>
      <c r="AG58" s="98" t="str">
        <f t="shared" si="38"/>
        <v>8.84175501761061E-07i</v>
      </c>
      <c r="AH58" s="98">
        <f t="shared" si="53"/>
        <v>8.8417550176106101E-7</v>
      </c>
      <c r="AI58" s="98">
        <f t="shared" si="54"/>
        <v>1.5707963267948966</v>
      </c>
      <c r="AJ58" s="98" t="str">
        <f t="shared" si="39"/>
        <v>1+0.000763580181388213i</v>
      </c>
      <c r="AK58" s="98">
        <f t="shared" si="55"/>
        <v>1.0000002915273043</v>
      </c>
      <c r="AL58" s="98">
        <f t="shared" si="56"/>
        <v>7.6358003298526201E-4</v>
      </c>
      <c r="AM58" s="98" t="str">
        <f t="shared" si="40"/>
        <v>1+1.94442222371502i</v>
      </c>
      <c r="AN58" s="98">
        <f t="shared" si="57"/>
        <v>2.1864989787504734</v>
      </c>
      <c r="AO58" s="98">
        <f t="shared" si="58"/>
        <v>1.0957809226399355</v>
      </c>
      <c r="AP58" s="168" t="str">
        <f t="shared" si="59"/>
        <v>-26.2219224447108+13.5110425919728i</v>
      </c>
      <c r="AQ58" s="98">
        <f t="shared" si="60"/>
        <v>29.395878800102668</v>
      </c>
      <c r="AR58" s="169">
        <f t="shared" si="61"/>
        <v>152.73987222500907</v>
      </c>
      <c r="AS58" s="168" t="str">
        <f t="shared" si="62"/>
        <v>63.8652599387159+126.070132764972i</v>
      </c>
      <c r="AT58" s="190">
        <f t="shared" si="63"/>
        <v>43.004313383017632</v>
      </c>
      <c r="AU58" s="169">
        <f t="shared" si="64"/>
        <v>63.133902509546147</v>
      </c>
      <c r="AV58" s="225"/>
      <c r="AX58">
        <f t="shared" si="65"/>
        <v>0</v>
      </c>
      <c r="AY58">
        <f t="shared" si="66"/>
        <v>0</v>
      </c>
    </row>
    <row r="59" spans="1:51" x14ac:dyDescent="0.2">
      <c r="A59" s="98" t="s">
        <v>220</v>
      </c>
      <c r="B59" s="187">
        <f>CHF</f>
        <v>2.2000000000000003E-12</v>
      </c>
      <c r="C59" s="206" t="s">
        <v>193</v>
      </c>
      <c r="E59" s="98" t="s">
        <v>223</v>
      </c>
      <c r="N59" s="170">
        <v>41</v>
      </c>
      <c r="O59" s="199">
        <f t="shared" si="41"/>
        <v>25.703957827688647</v>
      </c>
      <c r="P59" s="189" t="str">
        <f t="shared" si="32"/>
        <v>771.276595744681</v>
      </c>
      <c r="Q59" s="160" t="str">
        <f t="shared" si="33"/>
        <v>1+164.732784762483i</v>
      </c>
      <c r="R59" s="160">
        <f t="shared" si="42"/>
        <v>164.73581995304647</v>
      </c>
      <c r="S59" s="160">
        <f t="shared" si="43"/>
        <v>1.5647259643086957</v>
      </c>
      <c r="T59" s="160" t="str">
        <f t="shared" si="34"/>
        <v>1+0.0000387606552382312i</v>
      </c>
      <c r="U59" s="160">
        <f t="shared" si="44"/>
        <v>1.0000000007511942</v>
      </c>
      <c r="V59" s="160">
        <f t="shared" si="45"/>
        <v>3.8760655218820018E-5</v>
      </c>
      <c r="W59" s="98" t="str">
        <f t="shared" si="35"/>
        <v>1-0.000109821856508322i</v>
      </c>
      <c r="X59" s="160">
        <f t="shared" si="46"/>
        <v>1.0000000060304199</v>
      </c>
      <c r="Y59" s="160">
        <f t="shared" si="47"/>
        <v>-1.0982185606680737E-4</v>
      </c>
      <c r="Z59" s="98" t="str">
        <f t="shared" si="36"/>
        <v>0.999999735722621-0.000751929626057432i</v>
      </c>
      <c r="AA59" s="160">
        <f t="shared" si="48"/>
        <v>1.000000018421737</v>
      </c>
      <c r="AB59" s="160">
        <f t="shared" si="49"/>
        <v>-7.5192968306220134E-4</v>
      </c>
      <c r="AC59" s="171" t="str">
        <f t="shared" si="50"/>
        <v>0.0316083461616614-4.68179300652175i</v>
      </c>
      <c r="AD59" s="190">
        <f t="shared" si="51"/>
        <v>13.408442120457963</v>
      </c>
      <c r="AE59" s="169">
        <f t="shared" si="52"/>
        <v>-89.6131829589918</v>
      </c>
      <c r="AF59" s="98" t="str">
        <f t="shared" si="37"/>
        <v>-0.0000119284294234592</v>
      </c>
      <c r="AG59" s="98" t="str">
        <f t="shared" si="38"/>
        <v>9.04770594898414E-07i</v>
      </c>
      <c r="AH59" s="98">
        <f t="shared" si="53"/>
        <v>9.0477059489841402E-7</v>
      </c>
      <c r="AI59" s="98">
        <f t="shared" si="54"/>
        <v>1.5707963267948966</v>
      </c>
      <c r="AJ59" s="98" t="str">
        <f t="shared" si="39"/>
        <v>1+0.000781366248659023i</v>
      </c>
      <c r="AK59" s="98">
        <f t="shared" si="55"/>
        <v>1.0000003052665607</v>
      </c>
      <c r="AL59" s="98">
        <f t="shared" si="56"/>
        <v>7.8136608964239867E-4</v>
      </c>
      <c r="AM59" s="98" t="str">
        <f t="shared" si="40"/>
        <v>1+1.98971363556254i</v>
      </c>
      <c r="AN59" s="98">
        <f t="shared" si="57"/>
        <v>2.2268723249309783</v>
      </c>
      <c r="AO59" s="98">
        <f t="shared" si="58"/>
        <v>1.1050829481291575</v>
      </c>
      <c r="AP59" s="168" t="str">
        <f t="shared" si="59"/>
        <v>-26.2219217241715+13.2044158677693i</v>
      </c>
      <c r="AQ59" s="98">
        <f t="shared" si="60"/>
        <v>29.354799463903213</v>
      </c>
      <c r="AR59" s="169">
        <f t="shared" si="61"/>
        <v>153.27181996048395</v>
      </c>
      <c r="AS59" s="168" t="str">
        <f t="shared" si="62"/>
        <v>60.9915102860455+123.182979493398i</v>
      </c>
      <c r="AT59" s="190">
        <f t="shared" si="63"/>
        <v>42.763241584361182</v>
      </c>
      <c r="AU59" s="169">
        <f t="shared" si="64"/>
        <v>63.658637001492203</v>
      </c>
      <c r="AV59" s="225"/>
      <c r="AX59">
        <f t="shared" si="65"/>
        <v>0</v>
      </c>
      <c r="AY59">
        <f t="shared" si="66"/>
        <v>0</v>
      </c>
    </row>
    <row r="60" spans="1:51" x14ac:dyDescent="0.2">
      <c r="N60" s="170">
        <v>42</v>
      </c>
      <c r="O60" s="199">
        <f t="shared" si="41"/>
        <v>26.302679918953825</v>
      </c>
      <c r="P60" s="189" t="str">
        <f t="shared" si="32"/>
        <v>771.276595744681</v>
      </c>
      <c r="Q60" s="160" t="str">
        <f t="shared" si="33"/>
        <v>1+168.569904246342i</v>
      </c>
      <c r="R60" s="160">
        <f t="shared" si="42"/>
        <v>168.57287034876313</v>
      </c>
      <c r="S60" s="160">
        <f t="shared" si="43"/>
        <v>1.5648641393492153</v>
      </c>
      <c r="T60" s="160" t="str">
        <f t="shared" si="34"/>
        <v>1+0.0000396635068814923i</v>
      </c>
      <c r="U60" s="160">
        <f t="shared" si="44"/>
        <v>1.0000000007865968</v>
      </c>
      <c r="V60" s="160">
        <f t="shared" si="45"/>
        <v>3.9663506860692838E-5</v>
      </c>
      <c r="W60" s="98" t="str">
        <f t="shared" si="35"/>
        <v>1-0.000112379936164228i</v>
      </c>
      <c r="X60" s="160">
        <f t="shared" si="46"/>
        <v>1.000000006314625</v>
      </c>
      <c r="Y60" s="160">
        <f t="shared" si="47"/>
        <v>-1.1237993569113657E-4</v>
      </c>
      <c r="Z60" s="98" t="str">
        <f t="shared" si="36"/>
        <v>0.999999723267612-0.000769444317032857i</v>
      </c>
      <c r="AA60" s="160">
        <f t="shared" si="48"/>
        <v>1.0000000192899288</v>
      </c>
      <c r="AB60" s="160">
        <f t="shared" si="49"/>
        <v>-7.694443781145671E-4</v>
      </c>
      <c r="AC60" s="171" t="str">
        <f t="shared" si="50"/>
        <v>0.0303292563159355-4.57522992218174i</v>
      </c>
      <c r="AD60" s="190">
        <f t="shared" si="51"/>
        <v>13.208449318348595</v>
      </c>
      <c r="AE60" s="169">
        <f t="shared" si="52"/>
        <v>-89.620191125119192</v>
      </c>
      <c r="AF60" s="98" t="str">
        <f t="shared" si="37"/>
        <v>-0.0000119284294234592</v>
      </c>
      <c r="AG60" s="98" t="str">
        <f t="shared" si="38"/>
        <v>9.25845409381236E-07i</v>
      </c>
      <c r="AH60" s="98">
        <f t="shared" si="53"/>
        <v>9.2584540938123605E-7</v>
      </c>
      <c r="AI60" s="98">
        <f t="shared" si="54"/>
        <v>1.5707963267948966</v>
      </c>
      <c r="AJ60" s="98" t="str">
        <f t="shared" si="39"/>
        <v>1+0.000799566606657479i</v>
      </c>
      <c r="AK60" s="98">
        <f t="shared" si="55"/>
        <v>1.000000319653328</v>
      </c>
      <c r="AL60" s="98">
        <f t="shared" si="56"/>
        <v>7.9956643626809916E-4</v>
      </c>
      <c r="AM60" s="98" t="str">
        <f t="shared" si="40"/>
        <v>1+2.0360600199166i</v>
      </c>
      <c r="AN60" s="98">
        <f t="shared" si="57"/>
        <v>2.2683783645377122</v>
      </c>
      <c r="AO60" s="98">
        <f t="shared" si="58"/>
        <v>1.1142580551339103</v>
      </c>
      <c r="AP60" s="168" t="str">
        <f t="shared" si="59"/>
        <v>-26.2219209696742+12.9047902995869i</v>
      </c>
      <c r="AQ60" s="98">
        <f t="shared" si="60"/>
        <v>29.31520290703358</v>
      </c>
      <c r="AR60" s="169">
        <f t="shared" si="61"/>
        <v>153.79647206538996</v>
      </c>
      <c r="AS60" s="168" t="str">
        <f t="shared" si="62"/>
        <v>58.2470913559652+120.362710130238i</v>
      </c>
      <c r="AT60" s="190">
        <f t="shared" si="63"/>
        <v>42.523652225382193</v>
      </c>
      <c r="AU60" s="169">
        <f t="shared" si="64"/>
        <v>64.1762809402708</v>
      </c>
      <c r="AV60" s="225"/>
      <c r="AX60">
        <f t="shared" si="65"/>
        <v>0</v>
      </c>
      <c r="AY60">
        <f t="shared" si="66"/>
        <v>0</v>
      </c>
    </row>
    <row r="61" spans="1:51" x14ac:dyDescent="0.2">
      <c r="A61" s="98" t="s">
        <v>264</v>
      </c>
      <c r="B61" s="211">
        <f>-(RFBB*gm_ea)/(RFBB+RFBT)</f>
        <v>-1.1928429423459245E-5</v>
      </c>
      <c r="C61" s="98" t="s">
        <v>180</v>
      </c>
      <c r="N61" s="170">
        <v>43</v>
      </c>
      <c r="O61" s="199">
        <f t="shared" si="41"/>
        <v>26.915348039269158</v>
      </c>
      <c r="P61" s="189" t="str">
        <f t="shared" si="32"/>
        <v>771.276595744681</v>
      </c>
      <c r="Q61" s="160" t="str">
        <f t="shared" si="33"/>
        <v>1+172.49640172472i</v>
      </c>
      <c r="R61" s="160">
        <f t="shared" si="42"/>
        <v>172.49930031155483</v>
      </c>
      <c r="S61" s="160">
        <f t="shared" si="43"/>
        <v>1.5649991693607028</v>
      </c>
      <c r="T61" s="160" t="str">
        <f t="shared" si="34"/>
        <v>1+0.0000405873886411106i</v>
      </c>
      <c r="U61" s="160">
        <f t="shared" si="44"/>
        <v>1.000000000823668</v>
      </c>
      <c r="V61" s="160">
        <f t="shared" si="45"/>
        <v>4.058738861882358E-5</v>
      </c>
      <c r="W61" s="98" t="str">
        <f t="shared" si="35"/>
        <v>1-0.000114997601149813i</v>
      </c>
      <c r="X61" s="160">
        <f t="shared" si="46"/>
        <v>1.0000000066122241</v>
      </c>
      <c r="Y61" s="160">
        <f t="shared" si="47"/>
        <v>-1.149976006428864E-4</v>
      </c>
      <c r="Z61" s="98" t="str">
        <f t="shared" si="36"/>
        <v>0.999999710225616-0.000787366977569975i</v>
      </c>
      <c r="AA61" s="160">
        <f t="shared" si="48"/>
        <v>1.0000000201990364</v>
      </c>
      <c r="AB61" s="160">
        <f t="shared" si="49"/>
        <v>-7.8736704302020629E-4</v>
      </c>
      <c r="AC61" s="171" t="str">
        <f t="shared" si="50"/>
        <v>0.0291077310357981-4.47109200212609i</v>
      </c>
      <c r="AD61" s="190">
        <f t="shared" si="51"/>
        <v>13.008456191852906</v>
      </c>
      <c r="AE61" s="169">
        <f t="shared" si="52"/>
        <v>-89.626997928456717</v>
      </c>
      <c r="AF61" s="98" t="str">
        <f t="shared" si="37"/>
        <v>-0.0000119284294234592</v>
      </c>
      <c r="AG61" s="98" t="str">
        <f t="shared" si="38"/>
        <v>9.47411119355124E-07i</v>
      </c>
      <c r="AH61" s="98">
        <f t="shared" si="53"/>
        <v>9.4741111935512398E-7</v>
      </c>
      <c r="AI61" s="98">
        <f t="shared" si="54"/>
        <v>1.5707963267948966</v>
      </c>
      <c r="AJ61" s="98" t="str">
        <f t="shared" si="39"/>
        <v>1+0.000818190905454302i</v>
      </c>
      <c r="AK61" s="98">
        <f t="shared" si="55"/>
        <v>1.0000003347181228</v>
      </c>
      <c r="AL61" s="98">
        <f t="shared" si="56"/>
        <v>8.1819072287879545E-4</v>
      </c>
      <c r="AM61" s="98" t="str">
        <f t="shared" si="40"/>
        <v>1+2.08348595024368i</v>
      </c>
      <c r="AN61" s="98">
        <f t="shared" si="57"/>
        <v>2.3110416925842796</v>
      </c>
      <c r="AO61" s="98">
        <f t="shared" si="58"/>
        <v>1.1233049283954575</v>
      </c>
      <c r="AP61" s="168" t="str">
        <f t="shared" si="59"/>
        <v>-26.2219201796189+12.6120070219796i</v>
      </c>
      <c r="AQ61" s="98">
        <f t="shared" si="60"/>
        <v>29.27704845793485</v>
      </c>
      <c r="AR61" s="169">
        <f t="shared" si="61"/>
        <v>154.31375262804715</v>
      </c>
      <c r="AS61" s="168" t="str">
        <f t="shared" si="62"/>
        <v>55.6261831269006+117.6077245037i</v>
      </c>
      <c r="AT61" s="190">
        <f t="shared" si="63"/>
        <v>42.28550464978774</v>
      </c>
      <c r="AU61" s="169">
        <f t="shared" si="64"/>
        <v>64.686754699590395</v>
      </c>
      <c r="AV61" s="225"/>
      <c r="AX61">
        <f t="shared" si="65"/>
        <v>0</v>
      </c>
      <c r="AY61">
        <f t="shared" si="66"/>
        <v>0</v>
      </c>
    </row>
    <row r="62" spans="1:51" x14ac:dyDescent="0.2">
      <c r="A62" s="98" t="s">
        <v>263</v>
      </c>
      <c r="B62" s="211">
        <f>1/(RCOMP*CCOMP)</f>
        <v>81.168831168831176</v>
      </c>
      <c r="E62" s="98" t="s">
        <v>278</v>
      </c>
      <c r="N62" s="170">
        <v>44</v>
      </c>
      <c r="O62" s="199">
        <f t="shared" si="41"/>
        <v>27.542287033381665</v>
      </c>
      <c r="P62" s="189" t="str">
        <f t="shared" si="32"/>
        <v>771.276595744681</v>
      </c>
      <c r="Q62" s="160" t="str">
        <f t="shared" si="33"/>
        <v>1+176.514359078552i</v>
      </c>
      <c r="R62" s="160">
        <f t="shared" si="42"/>
        <v>176.51719168656629</v>
      </c>
      <c r="S62" s="160">
        <f t="shared" si="43"/>
        <v>1.5651311259181504</v>
      </c>
      <c r="T62" s="160" t="str">
        <f t="shared" si="34"/>
        <v>1+0.0000415327903714241i</v>
      </c>
      <c r="U62" s="160">
        <f t="shared" si="44"/>
        <v>1.0000000008624863</v>
      </c>
      <c r="V62" s="160">
        <f t="shared" si="45"/>
        <v>4.1532790347543123E-5</v>
      </c>
      <c r="W62" s="98" t="str">
        <f t="shared" si="35"/>
        <v>1-0.000117676239385701i</v>
      </c>
      <c r="X62" s="160">
        <f t="shared" si="46"/>
        <v>1.0000000069238486</v>
      </c>
      <c r="Y62" s="160">
        <f t="shared" si="47"/>
        <v>-1.1767623884251936E-4</v>
      </c>
      <c r="Z62" s="98" t="str">
        <f t="shared" si="36"/>
        <v>0.99999969656897-0.000805707110500634i</v>
      </c>
      <c r="AA62" s="160">
        <f t="shared" si="48"/>
        <v>1.0000000211509898</v>
      </c>
      <c r="AB62" s="160">
        <f t="shared" si="49"/>
        <v>-8.0570718063181963E-4</v>
      </c>
      <c r="AC62" s="171" t="str">
        <f t="shared" si="50"/>
        <v>0.0279411798374811-4.3693240766475i</v>
      </c>
      <c r="AD62" s="190">
        <f t="shared" si="51"/>
        <v>12.808462755549005</v>
      </c>
      <c r="AE62" s="169">
        <f t="shared" si="52"/>
        <v>-89.633606976931375</v>
      </c>
      <c r="AF62" s="98" t="str">
        <f t="shared" si="37"/>
        <v>-0.0000119284294234592</v>
      </c>
      <c r="AG62" s="98" t="str">
        <f t="shared" si="38"/>
        <v>9.69479159244964E-07i</v>
      </c>
      <c r="AH62" s="98">
        <f t="shared" si="53"/>
        <v>9.6947915924496393E-7</v>
      </c>
      <c r="AI62" s="98">
        <f t="shared" si="54"/>
        <v>1.5707963267948966</v>
      </c>
      <c r="AJ62" s="98" t="str">
        <f t="shared" si="39"/>
        <v>1+0.000837249019899234i</v>
      </c>
      <c r="AK62" s="98">
        <f t="shared" si="55"/>
        <v>1.0000003504928991</v>
      </c>
      <c r="AL62" s="98">
        <f t="shared" si="56"/>
        <v>8.3724882426605782E-4</v>
      </c>
      <c r="AM62" s="98" t="str">
        <f t="shared" si="40"/>
        <v>1+2.13201657239977i</v>
      </c>
      <c r="AN62" s="98">
        <f t="shared" si="57"/>
        <v>2.3548873996408539</v>
      </c>
      <c r="AO62" s="98">
        <f t="shared" si="58"/>
        <v>1.1322224401108523</v>
      </c>
      <c r="AP62" s="168" t="str">
        <f t="shared" si="59"/>
        <v>-26.2219193523295+12.3259107973741i</v>
      </c>
      <c r="AQ62" s="98">
        <f t="shared" si="60"/>
        <v>29.240295629423578</v>
      </c>
      <c r="AR62" s="169">
        <f t="shared" si="61"/>
        <v>154.82359646432275</v>
      </c>
      <c r="AS62" s="168" t="str">
        <f t="shared" si="62"/>
        <v>53.1232274492687+114.916464052292i</v>
      </c>
      <c r="AT62" s="190">
        <f t="shared" si="63"/>
        <v>42.048758384972551</v>
      </c>
      <c r="AU62" s="169">
        <f t="shared" si="64"/>
        <v>65.189989487391273</v>
      </c>
      <c r="AV62" s="225"/>
      <c r="AX62">
        <f t="shared" si="65"/>
        <v>0</v>
      </c>
      <c r="AY62">
        <f t="shared" si="66"/>
        <v>0</v>
      </c>
    </row>
    <row r="63" spans="1:51" x14ac:dyDescent="0.2">
      <c r="A63" s="98" t="s">
        <v>268</v>
      </c>
      <c r="B63" s="211">
        <f>(CCOMP+CHF)</f>
        <v>5.6021999999999995E-9</v>
      </c>
      <c r="E63" s="98" t="s">
        <v>279</v>
      </c>
      <c r="N63" s="170">
        <v>45</v>
      </c>
      <c r="O63" s="199">
        <f t="shared" si="41"/>
        <v>28.183829312644548</v>
      </c>
      <c r="P63" s="189" t="str">
        <f t="shared" si="32"/>
        <v>771.276595744681</v>
      </c>
      <c r="Q63" s="160" t="str">
        <f t="shared" si="33"/>
        <v>1+180.625906682011i</v>
      </c>
      <c r="R63" s="160">
        <f t="shared" si="42"/>
        <v>180.6286748129946</v>
      </c>
      <c r="S63" s="160">
        <f t="shared" si="43"/>
        <v>1.5652600789682789</v>
      </c>
      <c r="T63" s="160" t="str">
        <f t="shared" si="34"/>
        <v>1+0.0000425002133369438i</v>
      </c>
      <c r="U63" s="160">
        <f t="shared" si="44"/>
        <v>1.000000000903134</v>
      </c>
      <c r="V63" s="160">
        <f t="shared" si="45"/>
        <v>4.2500213311354877E-5</v>
      </c>
      <c r="W63" s="98" t="str">
        <f t="shared" si="35"/>
        <v>1-0.000120417271121341i</v>
      </c>
      <c r="X63" s="160">
        <f t="shared" si="46"/>
        <v>1.0000000072501596</v>
      </c>
      <c r="Y63" s="160">
        <f t="shared" si="47"/>
        <v>-1.2041727053931138E-4</v>
      </c>
      <c r="Z63" s="98" t="str">
        <f t="shared" si="36"/>
        <v>0.999999682268706-0.000824474440006074i</v>
      </c>
      <c r="AA63" s="160">
        <f t="shared" si="48"/>
        <v>1.0000000221478071</v>
      </c>
      <c r="AB63" s="160">
        <f t="shared" si="49"/>
        <v>-8.2447451515299248E-4</v>
      </c>
      <c r="AC63" s="171" t="str">
        <f t="shared" si="50"/>
        <v>0.0268271287975318-4.26987222959815i</v>
      </c>
      <c r="AD63" s="190">
        <f t="shared" si="51"/>
        <v>12.60846902335803</v>
      </c>
      <c r="AE63" s="169">
        <f t="shared" si="52"/>
        <v>-89.640021773693206</v>
      </c>
      <c r="AF63" s="98" t="str">
        <f t="shared" si="37"/>
        <v>-0.0000119284294234592</v>
      </c>
      <c r="AG63" s="98" t="str">
        <f t="shared" si="38"/>
        <v>9.92061229817609E-07i</v>
      </c>
      <c r="AH63" s="98">
        <f t="shared" si="53"/>
        <v>9.92061229817609E-7</v>
      </c>
      <c r="AI63" s="98">
        <f t="shared" si="54"/>
        <v>1.5707963267948966</v>
      </c>
      <c r="AJ63" s="98" t="str">
        <f t="shared" si="39"/>
        <v>1+0.000856751054856815i</v>
      </c>
      <c r="AK63" s="98">
        <f t="shared" si="55"/>
        <v>1.0000003670111177</v>
      </c>
      <c r="AL63" s="98">
        <f t="shared" si="56"/>
        <v>8.5675084523209415E-4</v>
      </c>
      <c r="AM63" s="98" t="str">
        <f t="shared" si="40"/>
        <v>1+2.18167761796312i</v>
      </c>
      <c r="AN63" s="98">
        <f t="shared" si="57"/>
        <v>2.3999410885938914</v>
      </c>
      <c r="AO63" s="98">
        <f t="shared" si="58"/>
        <v>1.1410096443523841</v>
      </c>
      <c r="AP63" s="168" t="str">
        <f t="shared" si="59"/>
        <v>-26.221918486051+12.0463499337608i</v>
      </c>
      <c r="AQ63" s="98">
        <f t="shared" si="60"/>
        <v>29.204904191891607</v>
      </c>
      <c r="AR63" s="169">
        <f t="shared" si="61"/>
        <v>155.32594879758847</v>
      </c>
      <c r="AS63" s="168" t="str">
        <f t="shared" si="62"/>
        <v>50.7329162656431+112.287410531589i</v>
      </c>
      <c r="AT63" s="190">
        <f t="shared" si="63"/>
        <v>41.813373215249655</v>
      </c>
      <c r="AU63" s="169">
        <f t="shared" si="64"/>
        <v>65.685927023895331</v>
      </c>
      <c r="AV63" s="225"/>
      <c r="AX63">
        <f t="shared" si="65"/>
        <v>0</v>
      </c>
      <c r="AY63">
        <f t="shared" si="66"/>
        <v>0</v>
      </c>
    </row>
    <row r="64" spans="1:51" x14ac:dyDescent="0.2">
      <c r="A64" s="98" t="s">
        <v>269</v>
      </c>
      <c r="B64" s="211">
        <f>(CCOMP+CHF)/(RCOMP*CHF*CCOMP)</f>
        <v>206692.73907910267</v>
      </c>
      <c r="E64" s="98" t="s">
        <v>280</v>
      </c>
      <c r="N64" s="170">
        <v>46</v>
      </c>
      <c r="O64" s="199">
        <f t="shared" si="41"/>
        <v>28.840315031266066</v>
      </c>
      <c r="P64" s="189" t="str">
        <f t="shared" si="32"/>
        <v>771.276595744681</v>
      </c>
      <c r="Q64" s="160" t="str">
        <f t="shared" si="33"/>
        <v>1+184.83322453206i</v>
      </c>
      <c r="R64" s="160">
        <f t="shared" si="42"/>
        <v>184.83592965362257</v>
      </c>
      <c r="S64" s="160">
        <f t="shared" si="43"/>
        <v>1.5653860968665383</v>
      </c>
      <c r="T64" s="160" t="str">
        <f t="shared" si="34"/>
        <v>1+0.0000434901704781316i</v>
      </c>
      <c r="U64" s="160">
        <f t="shared" si="44"/>
        <v>1.0000000009456973</v>
      </c>
      <c r="V64" s="160">
        <f t="shared" si="45"/>
        <v>4.3490170450712571E-5</v>
      </c>
      <c r="W64" s="98" t="str">
        <f t="shared" si="35"/>
        <v>1-0.00012322214968804i</v>
      </c>
      <c r="X64" s="160">
        <f t="shared" si="46"/>
        <v>1.0000000075918489</v>
      </c>
      <c r="Y64" s="160">
        <f t="shared" si="47"/>
        <v>-1.2322214906438403E-4</v>
      </c>
      <c r="Z64" s="98" t="str">
        <f t="shared" si="36"/>
        <v>0.999999667294492-0.000843678916772815i</v>
      </c>
      <c r="AA64" s="160">
        <f t="shared" si="48"/>
        <v>1.0000000231916044</v>
      </c>
      <c r="AB64" s="160">
        <f t="shared" si="49"/>
        <v>-8.4367899729418749E-4</v>
      </c>
      <c r="AC64" s="171" t="str">
        <f t="shared" si="50"/>
        <v>0.0257632153094324-4.17268377000568i</v>
      </c>
      <c r="AD64" s="190">
        <f t="shared" si="51"/>
        <v>12.408475008573575</v>
      </c>
      <c r="AE64" s="169">
        <f t="shared" si="52"/>
        <v>-89.646245718967705</v>
      </c>
      <c r="AF64" s="98" t="str">
        <f t="shared" si="37"/>
        <v>-0.0000119284294234592</v>
      </c>
      <c r="AG64" s="98" t="str">
        <f t="shared" si="38"/>
        <v>1.01516930438579E-06i</v>
      </c>
      <c r="AH64" s="98">
        <f t="shared" si="53"/>
        <v>1.0151693043857899E-6</v>
      </c>
      <c r="AI64" s="98">
        <f t="shared" si="54"/>
        <v>1.5707963267948966</v>
      </c>
      <c r="AJ64" s="98" t="str">
        <f t="shared" si="39"/>
        <v>1+0.000876707350564123i</v>
      </c>
      <c r="AK64" s="98">
        <f t="shared" si="55"/>
        <v>1.0000003843078153</v>
      </c>
      <c r="AL64" s="98">
        <f t="shared" si="56"/>
        <v>8.7670712594719235E-4</v>
      </c>
      <c r="AM64" s="98" t="str">
        <f t="shared" si="40"/>
        <v>1+2.23249541787743i</v>
      </c>
      <c r="AN64" s="98">
        <f t="shared" si="57"/>
        <v>2.4462288917523072</v>
      </c>
      <c r="AO64" s="98">
        <f t="shared" si="58"/>
        <v>1.1496657711614229</v>
      </c>
      <c r="AP64" s="168" t="str">
        <f t="shared" si="59"/>
        <v>-26.2219175789461+11.7731762042645i</v>
      </c>
      <c r="AQ64" s="98">
        <f t="shared" si="60"/>
        <v>29.170834241558406</v>
      </c>
      <c r="AR64" s="169">
        <f t="shared" si="61"/>
        <v>155.8207649200169</v>
      </c>
      <c r="AS64" s="168" t="str">
        <f t="shared" si="62"/>
        <v>48.450180360539+109.719084773521i</v>
      </c>
      <c r="AT64" s="190">
        <f t="shared" si="63"/>
        <v>41.579309250131956</v>
      </c>
      <c r="AU64" s="169">
        <f t="shared" si="64"/>
        <v>66.174519201049122</v>
      </c>
      <c r="AV64" s="225"/>
      <c r="AX64">
        <f t="shared" si="65"/>
        <v>0</v>
      </c>
      <c r="AY64">
        <f t="shared" si="66"/>
        <v>0</v>
      </c>
    </row>
    <row r="65" spans="1:51" x14ac:dyDescent="0.2">
      <c r="N65" s="170">
        <v>47</v>
      </c>
      <c r="O65" s="199">
        <f t="shared" si="41"/>
        <v>29.512092266663863</v>
      </c>
      <c r="P65" s="189" t="str">
        <f t="shared" si="32"/>
        <v>771.276595744681</v>
      </c>
      <c r="Q65" s="160" t="str">
        <f t="shared" si="33"/>
        <v>1+189.138543404312i</v>
      </c>
      <c r="R65" s="160">
        <f t="shared" si="42"/>
        <v>189.14118695066082</v>
      </c>
      <c r="S65" s="160">
        <f t="shared" si="43"/>
        <v>1.5655092464132667</v>
      </c>
      <c r="T65" s="160" t="str">
        <f t="shared" si="34"/>
        <v>1+0.0000445031866833674i</v>
      </c>
      <c r="U65" s="160">
        <f t="shared" si="44"/>
        <v>1.0000000009902668</v>
      </c>
      <c r="V65" s="160">
        <f t="shared" si="45"/>
        <v>4.4503186653987375E-5</v>
      </c>
      <c r="W65" s="98" t="str">
        <f t="shared" si="35"/>
        <v>1-0.000126092362269541i</v>
      </c>
      <c r="X65" s="160">
        <f t="shared" si="46"/>
        <v>1.0000000079496418</v>
      </c>
      <c r="Y65" s="160">
        <f t="shared" si="47"/>
        <v>-1.2609236160128159E-4</v>
      </c>
      <c r="Z65" s="98" t="str">
        <f t="shared" si="36"/>
        <v>0.999999651614564-0.000863330723268638i</v>
      </c>
      <c r="AA65" s="160">
        <f t="shared" si="48"/>
        <v>1.0000000242845932</v>
      </c>
      <c r="AB65" s="160">
        <f t="shared" si="49"/>
        <v>-8.633308095488425E-4</v>
      </c>
      <c r="AC65" s="171" t="str">
        <f t="shared" si="50"/>
        <v>0.0247471830759732-4.07770720432529i</v>
      </c>
      <c r="AD65" s="190">
        <f t="shared" si="51"/>
        <v>12.208480723889927</v>
      </c>
      <c r="AE65" s="169">
        <f t="shared" si="52"/>
        <v>-89.652282111853879</v>
      </c>
      <c r="AF65" s="98" t="str">
        <f t="shared" si="37"/>
        <v>-0.0000119284294234592</v>
      </c>
      <c r="AG65" s="98" t="str">
        <f t="shared" si="38"/>
        <v>0.0000010388156351565i</v>
      </c>
      <c r="AH65" s="98">
        <f t="shared" si="53"/>
        <v>1.0388156351564999E-6</v>
      </c>
      <c r="AI65" s="98">
        <f t="shared" si="54"/>
        <v>1.5707963267948966</v>
      </c>
      <c r="AJ65" s="98" t="str">
        <f t="shared" si="39"/>
        <v>1+0.000897128488113293i</v>
      </c>
      <c r="AK65" s="98">
        <f t="shared" si="55"/>
        <v>1.0000004024196811</v>
      </c>
      <c r="AL65" s="98">
        <f t="shared" si="56"/>
        <v>8.9712824743192073E-4</v>
      </c>
      <c r="AM65" s="98" t="str">
        <f t="shared" si="40"/>
        <v>1+2.28449691641286i</v>
      </c>
      <c r="AN65" s="98">
        <f t="shared" si="57"/>
        <v>2.493777488289576</v>
      </c>
      <c r="AO65" s="98">
        <f t="shared" si="58"/>
        <v>1.1581902203679992</v>
      </c>
      <c r="AP65" s="168" t="str">
        <f t="shared" si="59"/>
        <v>-26.2219166290909+11.5062447685534i</v>
      </c>
      <c r="AQ65" s="98">
        <f t="shared" si="60"/>
        <v>29.138046263757104</v>
      </c>
      <c r="AR65" s="169">
        <f t="shared" si="61"/>
        <v>156.30800983815331</v>
      </c>
      <c r="AS65" s="168" t="str">
        <f t="shared" si="62"/>
        <v>46.2701786160374+107.210045495465i</v>
      </c>
      <c r="AT65" s="190">
        <f t="shared" si="63"/>
        <v>41.346526987647003</v>
      </c>
      <c r="AU65" s="169">
        <f t="shared" si="64"/>
        <v>66.655727726299347</v>
      </c>
      <c r="AV65" s="225"/>
      <c r="AX65">
        <f t="shared" si="65"/>
        <v>0</v>
      </c>
      <c r="AY65">
        <f t="shared" si="66"/>
        <v>0</v>
      </c>
    </row>
    <row r="66" spans="1:51" x14ac:dyDescent="0.2">
      <c r="N66" s="170">
        <v>48</v>
      </c>
      <c r="O66" s="199">
        <f t="shared" si="41"/>
        <v>30.199517204020164</v>
      </c>
      <c r="P66" s="189" t="str">
        <f t="shared" si="32"/>
        <v>771.276595744681</v>
      </c>
      <c r="Q66" s="160" t="str">
        <f t="shared" si="33"/>
        <v>1+193.544146035821i</v>
      </c>
      <c r="R66" s="160">
        <f t="shared" si="42"/>
        <v>193.54672940852089</v>
      </c>
      <c r="S66" s="160">
        <f t="shared" si="43"/>
        <v>1.5656295928890345</v>
      </c>
      <c r="T66" s="160" t="str">
        <f t="shared" si="34"/>
        <v>1+0.000045539799067252i</v>
      </c>
      <c r="U66" s="160">
        <f t="shared" si="44"/>
        <v>1.0000000010369365</v>
      </c>
      <c r="V66" s="160">
        <f t="shared" si="45"/>
        <v>4.5539799035770741E-5</v>
      </c>
      <c r="W66" s="98" t="str">
        <f t="shared" si="35"/>
        <v>1-0.000129029430690547i</v>
      </c>
      <c r="X66" s="160">
        <f t="shared" si="46"/>
        <v>1.000000008324297</v>
      </c>
      <c r="Y66" s="160">
        <f t="shared" si="47"/>
        <v>-1.2902942997449412E-4</v>
      </c>
      <c r="Z66" s="98" t="str">
        <f t="shared" si="36"/>
        <v>0.999999635195664-0.000883440279141473i</v>
      </c>
      <c r="AA66" s="160">
        <f t="shared" si="48"/>
        <v>1.0000000254290937</v>
      </c>
      <c r="AB66" s="160">
        <f t="shared" si="49"/>
        <v>-8.8344037159237675E-4</v>
      </c>
      <c r="AC66" s="171" t="str">
        <f t="shared" si="50"/>
        <v>0.023776877326789-3.98489220931409i</v>
      </c>
      <c r="AD66" s="190">
        <f t="shared" si="51"/>
        <v>12.008486181429074</v>
      </c>
      <c r="AE66" s="169">
        <f t="shared" si="52"/>
        <v>-89.658134152069138</v>
      </c>
      <c r="AF66" s="98" t="str">
        <f t="shared" si="37"/>
        <v>-0.0000119284294234592</v>
      </c>
      <c r="AG66" s="98" t="str">
        <f t="shared" si="38"/>
        <v>1.06301275972733E-06i</v>
      </c>
      <c r="AH66" s="98">
        <f t="shared" si="53"/>
        <v>1.0630127597273301E-6</v>
      </c>
      <c r="AI66" s="98">
        <f t="shared" si="54"/>
        <v>1.5707963267948966</v>
      </c>
      <c r="AJ66" s="98" t="str">
        <f t="shared" si="39"/>
        <v>1+0.000918025295061761i</v>
      </c>
      <c r="AK66" s="98">
        <f t="shared" si="55"/>
        <v>1.0000004213851323</v>
      </c>
      <c r="AL66" s="98">
        <f t="shared" si="56"/>
        <v>9.1802503716703003E-4</v>
      </c>
      <c r="AM66" s="98" t="str">
        <f t="shared" si="40"/>
        <v>1+2.33770968545227i</v>
      </c>
      <c r="AN66" s="98">
        <f t="shared" si="57"/>
        <v>2.5426141220124907</v>
      </c>
      <c r="AO66" s="98">
        <f t="shared" si="58"/>
        <v>1.1665825551854123</v>
      </c>
      <c r="AP66" s="168" t="str">
        <f t="shared" si="59"/>
        <v>-26.2219156344702+11.2454140960412i</v>
      </c>
      <c r="AQ66" s="98">
        <f t="shared" si="60"/>
        <v>29.106501191271377</v>
      </c>
      <c r="AR66" s="169">
        <f t="shared" si="61"/>
        <v>156.78765790559459</v>
      </c>
      <c r="AS66" s="168" t="str">
        <f t="shared" si="62"/>
        <v>44.1882877505112+104.758888156542i</v>
      </c>
      <c r="AT66" s="190">
        <f t="shared" si="63"/>
        <v>41.11498737270044</v>
      </c>
      <c r="AU66" s="169">
        <f t="shared" si="64"/>
        <v>67.129523753525447</v>
      </c>
      <c r="AV66" s="225"/>
      <c r="AX66">
        <f t="shared" si="65"/>
        <v>0</v>
      </c>
      <c r="AY66">
        <f t="shared" si="66"/>
        <v>0</v>
      </c>
    </row>
    <row r="67" spans="1:51" x14ac:dyDescent="0.2">
      <c r="N67" s="170">
        <v>49</v>
      </c>
      <c r="O67" s="199">
        <f t="shared" si="41"/>
        <v>30.902954325135919</v>
      </c>
      <c r="P67" s="189" t="str">
        <f t="shared" si="32"/>
        <v>771.276595744681</v>
      </c>
      <c r="Q67" s="160" t="str">
        <f t="shared" si="33"/>
        <v>1+198.052368335419i</v>
      </c>
      <c r="R67" s="160">
        <f t="shared" si="42"/>
        <v>198.05489290413522</v>
      </c>
      <c r="S67" s="160">
        <f t="shared" si="43"/>
        <v>1.5657472000891837</v>
      </c>
      <c r="T67" s="160" t="str">
        <f t="shared" si="34"/>
        <v>1+0.0000466005572553926i</v>
      </c>
      <c r="U67" s="160">
        <f t="shared" si="44"/>
        <v>1.0000000010858059</v>
      </c>
      <c r="V67" s="160">
        <f t="shared" si="45"/>
        <v>4.6600557221659826E-5</v>
      </c>
      <c r="W67" s="98" t="str">
        <f t="shared" si="35"/>
        <v>1-0.000132034912223612i</v>
      </c>
      <c r="X67" s="160">
        <f t="shared" si="46"/>
        <v>1.000000008716609</v>
      </c>
      <c r="Y67" s="160">
        <f t="shared" si="47"/>
        <v>-1.3203491145634755E-4</v>
      </c>
      <c r="Z67" s="98" t="str">
        <f t="shared" si="36"/>
        <v>0.999999618002966-0.000904018246744022i</v>
      </c>
      <c r="AA67" s="160">
        <f t="shared" si="48"/>
        <v>1.000000026627534</v>
      </c>
      <c r="AB67" s="160">
        <f t="shared" si="49"/>
        <v>-9.0401834580694821E-4</v>
      </c>
      <c r="AC67" s="171" t="str">
        <f t="shared" si="50"/>
        <v>0.0228502402509433-3.89418960551397i</v>
      </c>
      <c r="AD67" s="190">
        <f t="shared" si="51"/>
        <v>11.808491392766049</v>
      </c>
      <c r="AE67" s="169">
        <f t="shared" si="52"/>
        <v>-89.6638049416418</v>
      </c>
      <c r="AF67" s="98" t="str">
        <f t="shared" si="37"/>
        <v>-0.0000119284294234592</v>
      </c>
      <c r="AG67" s="98" t="str">
        <f t="shared" si="38"/>
        <v>0.000001087773507734i</v>
      </c>
      <c r="AH67" s="98">
        <f t="shared" si="53"/>
        <v>1.0877735077339999E-6</v>
      </c>
      <c r="AI67" s="98">
        <f t="shared" si="54"/>
        <v>1.5707963267948966</v>
      </c>
      <c r="AJ67" s="98" t="str">
        <f t="shared" si="39"/>
        <v>1+0.00093940885117317i</v>
      </c>
      <c r="AK67" s="98">
        <f t="shared" si="55"/>
        <v>1.0000004412443975</v>
      </c>
      <c r="AL67" s="98">
        <f t="shared" si="56"/>
        <v>9.3940857483399364E-4</v>
      </c>
      <c r="AM67" s="98" t="str">
        <f t="shared" si="40"/>
        <v>1+2.39216193911015i</v>
      </c>
      <c r="AN67" s="98">
        <f t="shared" si="57"/>
        <v>2.59276661944866</v>
      </c>
      <c r="AO67" s="98">
        <f t="shared" si="58"/>
        <v>1.1748424956268437</v>
      </c>
      <c r="AP67" s="168" t="str">
        <f t="shared" si="59"/>
        <v>-26.2219145929748+10.9905458908474i</v>
      </c>
      <c r="AQ67" s="98">
        <f t="shared" si="60"/>
        <v>29.076160457774915</v>
      </c>
      <c r="AR67" s="169">
        <f t="shared" si="61"/>
        <v>157.25969244545871</v>
      </c>
      <c r="AS67" s="168" t="str">
        <f t="shared" si="62"/>
        <v>42.200092518773+102.364243858732i</v>
      </c>
      <c r="AT67" s="190">
        <f t="shared" si="63"/>
        <v>40.884651850540934</v>
      </c>
      <c r="AU67" s="169">
        <f t="shared" si="64"/>
        <v>67.59588750381684</v>
      </c>
      <c r="AV67" s="225"/>
      <c r="AX67">
        <f t="shared" si="65"/>
        <v>0</v>
      </c>
      <c r="AY67">
        <f t="shared" si="66"/>
        <v>0</v>
      </c>
    </row>
    <row r="68" spans="1:51" x14ac:dyDescent="0.2">
      <c r="A68" s="214" t="str">
        <f>"Crossover Frequency = "&amp;B68</f>
        <v>Crossover Frequency = 3.1 kHz</v>
      </c>
      <c r="B68" t="str">
        <f>ROUND(D68,1)&amp;" kHz"</f>
        <v>3.1 kHz</v>
      </c>
      <c r="C68" s="215"/>
      <c r="D68" s="216">
        <f>AY12</f>
        <v>3.0902954325135918</v>
      </c>
      <c r="N68" s="170">
        <v>50</v>
      </c>
      <c r="O68" s="199">
        <f t="shared" si="41"/>
        <v>31.622776601683803</v>
      </c>
      <c r="P68" s="189" t="str">
        <f t="shared" si="32"/>
        <v>771.276595744681</v>
      </c>
      <c r="Q68" s="160" t="str">
        <f t="shared" si="33"/>
        <v>1+202.66560062224i</v>
      </c>
      <c r="R68" s="160">
        <f t="shared" si="42"/>
        <v>202.66806772546406</v>
      </c>
      <c r="S68" s="160">
        <f t="shared" si="43"/>
        <v>1.5658621303575877</v>
      </c>
      <c r="T68" s="160" t="str">
        <f t="shared" si="34"/>
        <v>1+0.0000476860236758212i</v>
      </c>
      <c r="U68" s="160">
        <f t="shared" si="44"/>
        <v>1.0000000011369783</v>
      </c>
      <c r="V68" s="160">
        <f t="shared" si="45"/>
        <v>4.768602363967588E-5</v>
      </c>
      <c r="W68" s="98" t="str">
        <f t="shared" si="35"/>
        <v>1-0.000135110400414827i</v>
      </c>
      <c r="X68" s="160">
        <f t="shared" si="46"/>
        <v>1.0000000091274102</v>
      </c>
      <c r="Y68" s="160">
        <f t="shared" si="47"/>
        <v>-1.3511039959268831E-4</v>
      </c>
      <c r="Z68" s="98" t="str">
        <f t="shared" si="36"/>
        <v>0.9999996-0.00092507553678709i</v>
      </c>
      <c r="AA68" s="160">
        <f t="shared" si="48"/>
        <v>1.0000000278824539</v>
      </c>
      <c r="AB68" s="160">
        <f t="shared" si="49"/>
        <v>-9.2507564293492668E-4</v>
      </c>
      <c r="AC68" s="171" t="str">
        <f t="shared" si="50"/>
        <v>0.0219653066349046-3.80555133133037i</v>
      </c>
      <c r="AD68" s="190">
        <f t="shared" si="51"/>
        <v>11.608496368954178</v>
      </c>
      <c r="AE68" s="169">
        <f t="shared" si="52"/>
        <v>-89.669297486551869</v>
      </c>
      <c r="AF68" s="98" t="str">
        <f t="shared" si="37"/>
        <v>-0.0000119284294234592</v>
      </c>
      <c r="AG68" s="98" t="str">
        <f t="shared" si="38"/>
        <v>1.11311100765286E-06i</v>
      </c>
      <c r="AH68" s="98">
        <f t="shared" si="53"/>
        <v>1.11311100765286E-6</v>
      </c>
      <c r="AI68" s="98">
        <f t="shared" si="54"/>
        <v>1.5707963267948966</v>
      </c>
      <c r="AJ68" s="98" t="str">
        <f t="shared" si="39"/>
        <v>1+0.000961290494292018i</v>
      </c>
      <c r="AK68" s="98">
        <f t="shared" si="55"/>
        <v>1.0000004620396004</v>
      </c>
      <c r="AL68" s="98">
        <f t="shared" si="56"/>
        <v>9.6129019818926313E-4</v>
      </c>
      <c r="AM68" s="98" t="str">
        <f t="shared" si="40"/>
        <v>1+2.44788254869216i</v>
      </c>
      <c r="AN68" s="98">
        <f t="shared" si="57"/>
        <v>2.6442634082465433</v>
      </c>
      <c r="AO68" s="98">
        <f t="shared" si="58"/>
        <v>1.182969911788492</v>
      </c>
      <c r="AP68" s="168" t="str">
        <f t="shared" si="59"/>
        <v>-26.2219135023951+10.7415050184697i</v>
      </c>
      <c r="AQ68" s="98">
        <f t="shared" si="60"/>
        <v>29.046986046451163</v>
      </c>
      <c r="AR68" s="169">
        <f t="shared" si="61"/>
        <v>157.7241053652003</v>
      </c>
      <c r="AS68" s="168" t="str">
        <f t="shared" si="62"/>
        <v>40.3013763528952+100.024778290521i</v>
      </c>
      <c r="AT68" s="190">
        <f t="shared" si="63"/>
        <v>40.655482415405373</v>
      </c>
      <c r="AU68" s="169">
        <f t="shared" si="64"/>
        <v>68.054807878648532</v>
      </c>
      <c r="AV68" s="225"/>
      <c r="AX68">
        <f t="shared" si="65"/>
        <v>0</v>
      </c>
      <c r="AY68">
        <f t="shared" si="66"/>
        <v>0</v>
      </c>
    </row>
    <row r="69" spans="1:51" x14ac:dyDescent="0.2">
      <c r="A69" s="214" t="str">
        <f>"Phase Margin = "&amp;B69</f>
        <v>Phase Margin = 89°</v>
      </c>
      <c r="B69" s="217" t="str">
        <f>ROUND(D69,0)&amp;"°"</f>
        <v>89°</v>
      </c>
      <c r="C69" s="218"/>
      <c r="D69" s="23">
        <f>AY14</f>
        <v>89.092554418001967</v>
      </c>
      <c r="N69" s="170">
        <v>51</v>
      </c>
      <c r="O69" s="199">
        <f t="shared" si="41"/>
        <v>32.359365692962832</v>
      </c>
      <c r="P69" s="189" t="str">
        <f t="shared" si="32"/>
        <v>771.276595744681</v>
      </c>
      <c r="Q69" s="160" t="str">
        <f t="shared" si="33"/>
        <v>1+207.386288893109i</v>
      </c>
      <c r="R69" s="160">
        <f t="shared" si="42"/>
        <v>207.38869983886798</v>
      </c>
      <c r="S69" s="160">
        <f t="shared" si="43"/>
        <v>1.5659744446196442</v>
      </c>
      <c r="T69" s="160" t="str">
        <f t="shared" si="34"/>
        <v>1+0.000048796773857202i</v>
      </c>
      <c r="U69" s="160">
        <f t="shared" si="44"/>
        <v>1.0000000011905625</v>
      </c>
      <c r="V69" s="160">
        <f t="shared" si="45"/>
        <v>4.8796773818471592E-5</v>
      </c>
      <c r="W69" s="98" t="str">
        <f t="shared" si="35"/>
        <v>1-0.000138257525928739i</v>
      </c>
      <c r="X69" s="160">
        <f t="shared" si="46"/>
        <v>1.0000000095575716</v>
      </c>
      <c r="Y69" s="160">
        <f t="shared" si="47"/>
        <v>-1.3825752504780154E-4</v>
      </c>
      <c r="Z69" s="98" t="str">
        <f t="shared" si="36"/>
        <v>0.999999581148581-0.000946623314124585i</v>
      </c>
      <c r="AA69" s="160">
        <f t="shared" si="48"/>
        <v>1.0000000291965176</v>
      </c>
      <c r="AB69" s="160">
        <f t="shared" si="49"/>
        <v>-9.466234278640394E-4</v>
      </c>
      <c r="AC69" s="171" t="str">
        <f t="shared" si="50"/>
        <v>0.0211201996966743-3.71893041769277i</v>
      </c>
      <c r="AD69" s="190">
        <f t="shared" si="51"/>
        <v>11.408501120547616</v>
      </c>
      <c r="AE69" s="169">
        <f t="shared" si="52"/>
        <v>-89.674614698321378</v>
      </c>
      <c r="AF69" s="98" t="str">
        <f t="shared" si="37"/>
        <v>-0.0000119284294234592</v>
      </c>
      <c r="AG69" s="98" t="str">
        <f t="shared" si="38"/>
        <v>1.13903869376174E-06i</v>
      </c>
      <c r="AH69" s="98">
        <f t="shared" si="53"/>
        <v>1.13903869376174E-6</v>
      </c>
      <c r="AI69" s="98">
        <f t="shared" si="54"/>
        <v>1.5707963267948966</v>
      </c>
      <c r="AJ69" s="98" t="str">
        <f t="shared" si="39"/>
        <v>1+0.000983681826355123i</v>
      </c>
      <c r="AK69" s="98">
        <f t="shared" si="55"/>
        <v>1.0000004838148506</v>
      </c>
      <c r="AL69" s="98">
        <f t="shared" si="56"/>
        <v>9.8368150907531308E-4</v>
      </c>
      <c r="AM69" s="98" t="str">
        <f t="shared" si="40"/>
        <v>1+2.50490105800303i</v>
      </c>
      <c r="AN69" s="98">
        <f t="shared" si="57"/>
        <v>2.697133535882994</v>
      </c>
      <c r="AO69" s="98">
        <f t="shared" si="58"/>
        <v>1.1909648170409874</v>
      </c>
      <c r="AP69" s="168" t="str">
        <f t="shared" si="59"/>
        <v>-26.2219123604182+10.4981594341346i</v>
      </c>
      <c r="AQ69" s="98">
        <f t="shared" si="60"/>
        <v>29.018940533902118</v>
      </c>
      <c r="AR69" s="169">
        <f t="shared" si="61"/>
        <v>158.18089676616378</v>
      </c>
      <c r="AS69" s="168" t="str">
        <f t="shared" si="62"/>
        <v>38.4881124239108+97.7391907109297i</v>
      </c>
      <c r="AT69" s="190">
        <f t="shared" si="63"/>
        <v>40.42744165444973</v>
      </c>
      <c r="AU69" s="169">
        <f t="shared" si="64"/>
        <v>68.506282067842392</v>
      </c>
      <c r="AV69" s="225"/>
      <c r="AX69">
        <f t="shared" si="65"/>
        <v>0</v>
      </c>
      <c r="AY69">
        <f t="shared" si="66"/>
        <v>0</v>
      </c>
    </row>
    <row r="70" spans="1:51" x14ac:dyDescent="0.2">
      <c r="N70" s="170">
        <v>52</v>
      </c>
      <c r="O70" s="199">
        <f t="shared" si="41"/>
        <v>33.113112148259127</v>
      </c>
      <c r="P70" s="189" t="str">
        <f t="shared" si="32"/>
        <v>771.276595744681</v>
      </c>
      <c r="Q70" s="160" t="str">
        <f t="shared" si="33"/>
        <v>1+212.216936119431i</v>
      </c>
      <c r="R70" s="160">
        <f t="shared" si="42"/>
        <v>212.21929218598072</v>
      </c>
      <c r="S70" s="160">
        <f t="shared" si="43"/>
        <v>1.566084202414521</v>
      </c>
      <c r="T70" s="160" t="str">
        <f t="shared" si="34"/>
        <v>1+0.0000499333967339836i</v>
      </c>
      <c r="U70" s="160">
        <f t="shared" si="44"/>
        <v>1.0000000012466721</v>
      </c>
      <c r="V70" s="160">
        <f t="shared" si="45"/>
        <v>4.9933396692483222E-5</v>
      </c>
      <c r="W70" s="98" t="str">
        <f t="shared" si="35"/>
        <v>1-0.000141477957412954i</v>
      </c>
      <c r="X70" s="160">
        <f t="shared" si="46"/>
        <v>1.0000000100080062</v>
      </c>
      <c r="Y70" s="160">
        <f t="shared" si="47"/>
        <v>-1.4147795646901249E-4</v>
      </c>
      <c r="Z70" s="98" t="str">
        <f t="shared" si="36"/>
        <v>0.999999561408722-0.000968673003673274i</v>
      </c>
      <c r="AA70" s="160">
        <f t="shared" si="48"/>
        <v>1.0000000305725116</v>
      </c>
      <c r="AB70" s="160">
        <f t="shared" si="49"/>
        <v>-9.6867312554729313E-4</v>
      </c>
      <c r="AC70" s="171" t="str">
        <f t="shared" si="50"/>
        <v>0.0203131271072688-3.63428096328557i</v>
      </c>
      <c r="AD70" s="190">
        <f t="shared" si="51"/>
        <v>11.208505657624475</v>
      </c>
      <c r="AE70" s="169">
        <f t="shared" si="52"/>
        <v>-89.679759395554754</v>
      </c>
      <c r="AF70" s="98" t="str">
        <f t="shared" si="37"/>
        <v>-0.0000119284294234592</v>
      </c>
      <c r="AG70" s="98" t="str">
        <f t="shared" si="38"/>
        <v>1.16557031326301E-06i</v>
      </c>
      <c r="AH70" s="98">
        <f t="shared" si="53"/>
        <v>1.16557031326301E-6</v>
      </c>
      <c r="AI70" s="98">
        <f t="shared" si="54"/>
        <v>1.5707963267948966</v>
      </c>
      <c r="AJ70" s="98" t="str">
        <f t="shared" si="39"/>
        <v>1+0.00100659471954313i</v>
      </c>
      <c r="AK70" s="98">
        <f t="shared" si="55"/>
        <v>1.0000005066163364</v>
      </c>
      <c r="AL70" s="98">
        <f t="shared" si="56"/>
        <v>1.0065943795716978E-3</v>
      </c>
      <c r="AM70" s="98" t="str">
        <f t="shared" si="40"/>
        <v>1+2.56324769901116i</v>
      </c>
      <c r="AN70" s="98">
        <f t="shared" si="57"/>
        <v>2.751406688675087</v>
      </c>
      <c r="AO70" s="98">
        <f t="shared" si="58"/>
        <v>1.1988273611681068</v>
      </c>
      <c r="AP70" s="168" t="str">
        <f t="shared" si="59"/>
        <v>-26.2219111646219+10.2603801127852i</v>
      </c>
      <c r="AQ70" s="98">
        <f t="shared" si="60"/>
        <v>28.991987129472875</v>
      </c>
      <c r="AR70" s="169">
        <f t="shared" si="61"/>
        <v>158.63007455010705</v>
      </c>
      <c r="AS70" s="168" t="str">
        <f t="shared" si="62"/>
        <v>36.7564551054866+95.5062129719506i</v>
      </c>
      <c r="AT70" s="190">
        <f t="shared" si="63"/>
        <v>40.200492787097346</v>
      </c>
      <c r="AU70" s="169">
        <f t="shared" si="64"/>
        <v>68.950315154552328</v>
      </c>
      <c r="AV70" s="225"/>
      <c r="AX70">
        <f t="shared" si="65"/>
        <v>0</v>
      </c>
      <c r="AY70">
        <f t="shared" si="66"/>
        <v>0</v>
      </c>
    </row>
    <row r="71" spans="1:51" x14ac:dyDescent="0.2">
      <c r="N71" s="170">
        <v>53</v>
      </c>
      <c r="O71" s="199">
        <f t="shared" si="41"/>
        <v>33.884415613920268</v>
      </c>
      <c r="P71" s="189" t="str">
        <f t="shared" si="32"/>
        <v>771.276595744681</v>
      </c>
      <c r="Q71" s="160" t="str">
        <f t="shared" si="33"/>
        <v>1+217.160103574305i</v>
      </c>
      <c r="R71" s="160">
        <f t="shared" si="42"/>
        <v>217.16240601080767</v>
      </c>
      <c r="S71" s="160">
        <f t="shared" si="43"/>
        <v>1.5661914619266697</v>
      </c>
      <c r="T71" s="160" t="str">
        <f t="shared" si="34"/>
        <v>1+0.00005109649495866i</v>
      </c>
      <c r="U71" s="160">
        <f t="shared" si="44"/>
        <v>1.0000000013054258</v>
      </c>
      <c r="V71" s="160">
        <f t="shared" si="45"/>
        <v>5.1096494914191545E-5</v>
      </c>
      <c r="W71" s="98" t="str">
        <f t="shared" si="35"/>
        <v>1-0.00014477340238287i</v>
      </c>
      <c r="X71" s="160">
        <f t="shared" si="46"/>
        <v>1.0000000104796689</v>
      </c>
      <c r="Y71" s="160">
        <f t="shared" si="47"/>
        <v>-1.4477340137141845E-4</v>
      </c>
      <c r="Z71" s="98" t="str">
        <f t="shared" si="36"/>
        <v>0.999999540738551-0.000991236296470407i</v>
      </c>
      <c r="AA71" s="160">
        <f t="shared" si="48"/>
        <v>1.0000000320133537</v>
      </c>
      <c r="AB71" s="160">
        <f t="shared" si="49"/>
        <v>-9.9123642706077015E-4</v>
      </c>
      <c r="AC71" s="171" t="str">
        <f t="shared" si="50"/>
        <v>0.0195423771911206-3.55155811033574i</v>
      </c>
      <c r="AD71" s="190">
        <f t="shared" si="51"/>
        <v>11.008509989807958</v>
      </c>
      <c r="AE71" s="169">
        <f t="shared" si="52"/>
        <v>-89.684734305430169</v>
      </c>
      <c r="AF71" s="98" t="str">
        <f t="shared" si="37"/>
        <v>-0.0000119284294234592</v>
      </c>
      <c r="AG71" s="98" t="str">
        <f t="shared" si="38"/>
        <v>1.19271993357252E-06i</v>
      </c>
      <c r="AH71" s="98">
        <f t="shared" si="53"/>
        <v>1.19271993357252E-6</v>
      </c>
      <c r="AI71" s="98">
        <f t="shared" si="54"/>
        <v>1.5707963267948966</v>
      </c>
      <c r="AJ71" s="98" t="str">
        <f t="shared" si="39"/>
        <v>1+0.0010300413225753i</v>
      </c>
      <c r="AK71" s="98">
        <f t="shared" si="55"/>
        <v>1.0000005304924224</v>
      </c>
      <c r="AL71" s="98">
        <f t="shared" si="56"/>
        <v>1.0300409582893577E-3</v>
      </c>
      <c r="AM71" s="98" t="str">
        <f t="shared" si="40"/>
        <v>1+2.62295340787788i</v>
      </c>
      <c r="AN71" s="98">
        <f t="shared" si="57"/>
        <v>2.8071132110939492</v>
      </c>
      <c r="AO71" s="98">
        <f t="shared" si="58"/>
        <v>1.2065578234888277</v>
      </c>
      <c r="AP71" s="168" t="str">
        <f t="shared" si="59"/>
        <v>-26.2219099124693+10.0280409806702i</v>
      </c>
      <c r="AQ71" s="98">
        <f t="shared" si="60"/>
        <v>28.966089710141581</v>
      </c>
      <c r="AR71" s="169">
        <f t="shared" si="61"/>
        <v>159.07165402476477</v>
      </c>
      <c r="AS71" s="168" t="str">
        <f t="shared" si="62"/>
        <v>35.1027318214974+93.3246085774557i</v>
      </c>
      <c r="AT71" s="190">
        <f t="shared" si="63"/>
        <v>39.974599699949536</v>
      </c>
      <c r="AU71" s="169">
        <f t="shared" si="64"/>
        <v>69.386919719334585</v>
      </c>
      <c r="AV71" s="225"/>
      <c r="AX71">
        <f t="shared" si="65"/>
        <v>0</v>
      </c>
      <c r="AY71">
        <f t="shared" si="66"/>
        <v>0</v>
      </c>
    </row>
    <row r="72" spans="1:51" x14ac:dyDescent="0.2">
      <c r="N72" s="170">
        <v>54</v>
      </c>
      <c r="O72" s="199">
        <f t="shared" si="41"/>
        <v>34.67368504525318</v>
      </c>
      <c r="P72" s="189" t="str">
        <f t="shared" si="32"/>
        <v>771.276595744681</v>
      </c>
      <c r="Q72" s="160" t="str">
        <f t="shared" si="33"/>
        <v>1+222.218412190549i</v>
      </c>
      <c r="R72" s="160">
        <f t="shared" si="42"/>
        <v>222.22066221773514</v>
      </c>
      <c r="S72" s="160">
        <f t="shared" si="43"/>
        <v>1.5662962800166258</v>
      </c>
      <c r="T72" s="160" t="str">
        <f t="shared" si="34"/>
        <v>1+0.0000522866852213056i</v>
      </c>
      <c r="U72" s="160">
        <f t="shared" si="44"/>
        <v>1.0000000013669488</v>
      </c>
      <c r="V72" s="160">
        <f t="shared" si="45"/>
        <v>5.2286685173656792E-5</v>
      </c>
      <c r="W72" s="98" t="str">
        <f t="shared" si="35"/>
        <v>1-0.000148145608127033i</v>
      </c>
      <c r="X72" s="160">
        <f t="shared" si="46"/>
        <v>1.0000000109735605</v>
      </c>
      <c r="Y72" s="160">
        <f t="shared" si="47"/>
        <v>-1.4814560704324315E-4</v>
      </c>
      <c r="Z72" s="98" t="str">
        <f t="shared" si="36"/>
        <v>0.999999519094226-0.0010143251558725i</v>
      </c>
      <c r="AA72" s="160">
        <f t="shared" si="48"/>
        <v>1.000000033522102</v>
      </c>
      <c r="AB72" s="160">
        <f t="shared" si="49"/>
        <v>-1.0143252958025924E-3</v>
      </c>
      <c r="AC72" s="171" t="str">
        <f t="shared" si="50"/>
        <v>0.018806315297368-3.47071802094538i</v>
      </c>
      <c r="AD72" s="190">
        <f t="shared" si="51"/>
        <v>10.808514126286472</v>
      </c>
      <c r="AE72" s="169">
        <f t="shared" si="52"/>
        <v>-89.689542065142589</v>
      </c>
      <c r="AF72" s="98" t="str">
        <f t="shared" si="37"/>
        <v>-0.0000119284294234592</v>
      </c>
      <c r="AG72" s="98" t="str">
        <f t="shared" si="38"/>
        <v>1.22050194977833E-06i</v>
      </c>
      <c r="AH72" s="98">
        <f t="shared" si="53"/>
        <v>1.2205019497783301E-6</v>
      </c>
      <c r="AI72" s="98">
        <f t="shared" si="54"/>
        <v>1.5707963267948966</v>
      </c>
      <c r="AJ72" s="98" t="str">
        <f t="shared" si="39"/>
        <v>1+0.0010540340671509i</v>
      </c>
      <c r="AK72" s="98">
        <f t="shared" si="55"/>
        <v>1.000000555493753</v>
      </c>
      <c r="AL72" s="98">
        <f t="shared" si="56"/>
        <v>1.0540336768114918E-3</v>
      </c>
      <c r="AM72" s="98" t="str">
        <f t="shared" si="40"/>
        <v>1+2.68404984136036i</v>
      </c>
      <c r="AN72" s="98">
        <f t="shared" si="57"/>
        <v>2.8642841253804718</v>
      </c>
      <c r="AO72" s="98">
        <f t="shared" si="58"/>
        <v>1.2141566059959508</v>
      </c>
      <c r="AP72" s="168" t="str">
        <f t="shared" si="59"/>
        <v>-26.2219086013046+9.80101884849836i</v>
      </c>
      <c r="AQ72" s="98">
        <f t="shared" si="60"/>
        <v>28.941212851139806</v>
      </c>
      <c r="AR72" s="169">
        <f t="shared" si="61"/>
        <v>159.50565751035035</v>
      </c>
      <c r="AS72" s="168" t="str">
        <f t="shared" si="62"/>
        <v>33.5234352602537+91.1931717768309i</v>
      </c>
      <c r="AT72" s="190">
        <f t="shared" si="63"/>
        <v>39.749726977426285</v>
      </c>
      <c r="AU72" s="169">
        <f t="shared" si="64"/>
        <v>69.816115445207757</v>
      </c>
      <c r="AV72" s="225"/>
      <c r="AX72">
        <f t="shared" si="65"/>
        <v>0</v>
      </c>
      <c r="AY72">
        <f t="shared" si="66"/>
        <v>0</v>
      </c>
    </row>
    <row r="73" spans="1:51" x14ac:dyDescent="0.2">
      <c r="N73" s="170">
        <v>55</v>
      </c>
      <c r="O73" s="199">
        <f t="shared" si="41"/>
        <v>35.481338923357555</v>
      </c>
      <c r="P73" s="189" t="str">
        <f t="shared" si="32"/>
        <v>771.276595744681</v>
      </c>
      <c r="Q73" s="160" t="str">
        <f t="shared" si="33"/>
        <v>1+227.394543950345i</v>
      </c>
      <c r="R73" s="160">
        <f t="shared" si="42"/>
        <v>227.39674276116048</v>
      </c>
      <c r="S73" s="160">
        <f t="shared" si="43"/>
        <v>1.5663987122511098</v>
      </c>
      <c r="T73" s="160" t="str">
        <f t="shared" si="34"/>
        <v>1+0.0000535045985765517i</v>
      </c>
      <c r="U73" s="160">
        <f t="shared" si="44"/>
        <v>1.000000001431371</v>
      </c>
      <c r="V73" s="160">
        <f t="shared" si="45"/>
        <v>5.3504598525495084E-5</v>
      </c>
      <c r="W73" s="98" t="str">
        <f t="shared" si="35"/>
        <v>1-0.000151596362633563i</v>
      </c>
      <c r="X73" s="160">
        <f t="shared" si="46"/>
        <v>1.0000000114907286</v>
      </c>
      <c r="Y73" s="160">
        <f t="shared" si="47"/>
        <v>-1.5159636147226124E-4</v>
      </c>
      <c r="Z73" s="98" t="str">
        <f t="shared" si="36"/>
        <v>0.999999496429835-0.00103795182389841i</v>
      </c>
      <c r="AA73" s="160">
        <f t="shared" si="48"/>
        <v>1.0000000351019556</v>
      </c>
      <c r="AB73" s="160">
        <f t="shared" si="49"/>
        <v>-1.0379519738362029E-3</v>
      </c>
      <c r="AC73" s="171" t="str">
        <f t="shared" si="50"/>
        <v>0.0181033803343515-3.39171785395753i</v>
      </c>
      <c r="AD73" s="190">
        <f t="shared" si="51"/>
        <v>10.608518075833524</v>
      </c>
      <c r="AE73" s="169">
        <f t="shared" si="52"/>
        <v>-89.694185223299428</v>
      </c>
      <c r="AF73" s="98" t="str">
        <f t="shared" si="37"/>
        <v>-0.0000119284294234592</v>
      </c>
      <c r="AG73" s="98" t="str">
        <f t="shared" si="38"/>
        <v>1.24893109227316E-06i</v>
      </c>
      <c r="AH73" s="98">
        <f t="shared" si="53"/>
        <v>1.24893109227316E-6</v>
      </c>
      <c r="AI73" s="98">
        <f t="shared" si="54"/>
        <v>1.5707963267948966</v>
      </c>
      <c r="AJ73" s="98" t="str">
        <f t="shared" si="39"/>
        <v>1+0.0010785856745407i</v>
      </c>
      <c r="AK73" s="98">
        <f t="shared" si="55"/>
        <v>1.0000005816733595</v>
      </c>
      <c r="AL73" s="98">
        <f t="shared" si="56"/>
        <v>1.0785852562845016E-3</v>
      </c>
      <c r="AM73" s="98" t="str">
        <f t="shared" si="40"/>
        <v>1+2.74656939359632i</v>
      </c>
      <c r="AN73" s="98">
        <f t="shared" si="57"/>
        <v>2.9229511514632014</v>
      </c>
      <c r="AO73" s="98">
        <f t="shared" si="58"/>
        <v>1.2216242265414516</v>
      </c>
      <c r="AP73" s="168" t="str">
        <f t="shared" si="59"/>
        <v>-26.2219072283469+9.57919334612157i</v>
      </c>
      <c r="AQ73" s="98">
        <f t="shared" si="60"/>
        <v>28.917321852480473</v>
      </c>
      <c r="AR73" s="169">
        <f t="shared" si="61"/>
        <v>159.93211394872853</v>
      </c>
      <c r="AS73" s="168" t="str">
        <f t="shared" si="62"/>
        <v>32.0152159389049+89.1107266916433i</v>
      </c>
      <c r="AT73" s="190">
        <f t="shared" si="63"/>
        <v>39.525839928313992</v>
      </c>
      <c r="AU73" s="169">
        <f t="shared" si="64"/>
        <v>70.237928725429072</v>
      </c>
      <c r="AV73" s="225"/>
      <c r="AX73">
        <f t="shared" si="65"/>
        <v>0</v>
      </c>
      <c r="AY73">
        <f t="shared" si="66"/>
        <v>0</v>
      </c>
    </row>
    <row r="74" spans="1:51" x14ac:dyDescent="0.2">
      <c r="N74" s="170">
        <v>56</v>
      </c>
      <c r="O74" s="199">
        <f t="shared" si="41"/>
        <v>36.307805477010156</v>
      </c>
      <c r="P74" s="189" t="str">
        <f t="shared" si="32"/>
        <v>771.276595744681</v>
      </c>
      <c r="Q74" s="160" t="str">
        <f t="shared" si="33"/>
        <v>1+232.691243307267i</v>
      </c>
      <c r="R74" s="160">
        <f t="shared" si="42"/>
        <v>232.69339206750527</v>
      </c>
      <c r="S74" s="160">
        <f t="shared" si="43"/>
        <v>1.5664988129324455</v>
      </c>
      <c r="T74" s="160" t="str">
        <f t="shared" si="34"/>
        <v>1+0.0000547508807781804i</v>
      </c>
      <c r="U74" s="160">
        <f t="shared" si="44"/>
        <v>1.0000000014988295</v>
      </c>
      <c r="V74" s="160">
        <f t="shared" si="45"/>
        <v>5.4750880723472243E-5</v>
      </c>
      <c r="W74" s="98" t="str">
        <f t="shared" si="35"/>
        <v>1-0.000155127495538178i</v>
      </c>
      <c r="X74" s="160">
        <f t="shared" si="46"/>
        <v>1.0000000120322698</v>
      </c>
      <c r="Y74" s="160">
        <f t="shared" si="47"/>
        <v>-1.5512749429382077E-4</v>
      </c>
      <c r="Z74" s="98" t="str">
        <f t="shared" si="36"/>
        <v>0.999999472697305-0.00106212882772027i</v>
      </c>
      <c r="AA74" s="160">
        <f t="shared" si="48"/>
        <v>1.0000000367562667</v>
      </c>
      <c r="AB74" s="160">
        <f t="shared" si="49"/>
        <v>-1.0621289883815058E-3</v>
      </c>
      <c r="AC74" s="171" t="str">
        <f t="shared" si="50"/>
        <v>0.0174320814599762-3.31451574234293i</v>
      </c>
      <c r="AD74" s="190">
        <f t="shared" si="51"/>
        <v>10.408521846826094</v>
      </c>
      <c r="AE74" s="169">
        <f t="shared" si="52"/>
        <v>-89.698666241269237</v>
      </c>
      <c r="AF74" s="98" t="str">
        <f t="shared" si="37"/>
        <v>-0.0000119284294234592</v>
      </c>
      <c r="AG74" s="98" t="str">
        <f t="shared" si="38"/>
        <v>1.27802243456467E-06i</v>
      </c>
      <c r="AH74" s="98">
        <f t="shared" si="53"/>
        <v>1.27802243456467E-6</v>
      </c>
      <c r="AI74" s="98">
        <f t="shared" si="54"/>
        <v>1.5707963267948966</v>
      </c>
      <c r="AJ74" s="98" t="str">
        <f t="shared" si="39"/>
        <v>1+0.00110370916233191i</v>
      </c>
      <c r="AK74" s="98">
        <f t="shared" si="55"/>
        <v>1.0000006090867721</v>
      </c>
      <c r="AL74" s="98">
        <f t="shared" si="56"/>
        <v>1.103708714162334E-3</v>
      </c>
      <c r="AM74" s="98" t="str">
        <f t="shared" si="40"/>
        <v>1+2.81054521327993i</v>
      </c>
      <c r="AN74" s="98">
        <f t="shared" si="57"/>
        <v>2.9831467271810026</v>
      </c>
      <c r="AO74" s="98">
        <f t="shared" si="58"/>
        <v>1.2289613120959526</v>
      </c>
      <c r="AP74" s="168" t="str">
        <f t="shared" si="59"/>
        <v>-26.2219057906842+9.36244685871289i</v>
      </c>
      <c r="AQ74" s="98">
        <f t="shared" si="60"/>
        <v>28.894382761582776</v>
      </c>
      <c r="AR74" s="169">
        <f t="shared" si="61"/>
        <v>160.35105851682476</v>
      </c>
      <c r="AS74" s="168" t="str">
        <f t="shared" si="62"/>
        <v>30.574875102274+87.0761264737618i</v>
      </c>
      <c r="AT74" s="190">
        <f t="shared" si="63"/>
        <v>39.302904608408873</v>
      </c>
      <c r="AU74" s="169">
        <f t="shared" si="64"/>
        <v>70.652392275555499</v>
      </c>
      <c r="AV74" s="225"/>
      <c r="AX74">
        <f t="shared" si="65"/>
        <v>0</v>
      </c>
      <c r="AY74">
        <f t="shared" si="66"/>
        <v>0</v>
      </c>
    </row>
    <row r="75" spans="1:51" x14ac:dyDescent="0.2">
      <c r="N75" s="170">
        <v>57</v>
      </c>
      <c r="O75" s="199">
        <f t="shared" si="41"/>
        <v>37.15352290971726</v>
      </c>
      <c r="P75" s="189" t="str">
        <f t="shared" si="32"/>
        <v>771.276595744681</v>
      </c>
      <c r="Q75" s="160" t="str">
        <f t="shared" si="33"/>
        <v>1+238.111318641422i</v>
      </c>
      <c r="R75" s="160">
        <f t="shared" si="42"/>
        <v>238.1134184903421</v>
      </c>
      <c r="S75" s="160">
        <f t="shared" si="43"/>
        <v>1.5665966351273102</v>
      </c>
      <c r="T75" s="160" t="str">
        <f t="shared" si="34"/>
        <v>1+0.000056026192621511i</v>
      </c>
      <c r="U75" s="160">
        <f t="shared" si="44"/>
        <v>1.000000001569467</v>
      </c>
      <c r="V75" s="160">
        <f t="shared" si="45"/>
        <v>5.6026192562890155E-5</v>
      </c>
      <c r="W75" s="98" t="str">
        <f t="shared" si="35"/>
        <v>1-0.000158740879094281i</v>
      </c>
      <c r="X75" s="160">
        <f t="shared" si="46"/>
        <v>1.0000000125993334</v>
      </c>
      <c r="Y75" s="160">
        <f t="shared" si="47"/>
        <v>-1.5874087776092819E-4</v>
      </c>
      <c r="Z75" s="98" t="str">
        <f t="shared" si="36"/>
        <v>0.999999447846294-0.00108686898630553i</v>
      </c>
      <c r="AA75" s="160">
        <f t="shared" si="48"/>
        <v>1.0000000384885424</v>
      </c>
      <c r="AB75" s="160">
        <f t="shared" si="49"/>
        <v>-1.0868691584571433E-3</v>
      </c>
      <c r="AC75" s="171" t="str">
        <f t="shared" si="50"/>
        <v>0.0167909949209425-3.23907077109665i</v>
      </c>
      <c r="AD75" s="190">
        <f t="shared" si="51"/>
        <v>10.208525447262636</v>
      </c>
      <c r="AE75" s="169">
        <f t="shared" si="52"/>
        <v>-89.70298749448439</v>
      </c>
      <c r="AF75" s="98" t="str">
        <f t="shared" si="37"/>
        <v>-0.0000119284294234592</v>
      </c>
      <c r="AG75" s="98" t="str">
        <f t="shared" si="38"/>
        <v>1.30779140126762E-06i</v>
      </c>
      <c r="AH75" s="98">
        <f t="shared" si="53"/>
        <v>1.3077914012676201E-6</v>
      </c>
      <c r="AI75" s="98">
        <f t="shared" si="54"/>
        <v>1.5707963267948966</v>
      </c>
      <c r="AJ75" s="98" t="str">
        <f t="shared" si="39"/>
        <v>1+0.00112941785133031i</v>
      </c>
      <c r="AK75" s="98">
        <f t="shared" si="55"/>
        <v>1.0000006377921382</v>
      </c>
      <c r="AL75" s="98">
        <f t="shared" si="56"/>
        <v>1.1294173711079737E-3</v>
      </c>
      <c r="AM75" s="98" t="str">
        <f t="shared" si="40"/>
        <v>1+2.87601122123757i</v>
      </c>
      <c r="AN75" s="98">
        <f t="shared" si="57"/>
        <v>3.0449040288134563</v>
      </c>
      <c r="AO75" s="98">
        <f t="shared" si="58"/>
        <v>1.236168592106748</v>
      </c>
      <c r="AP75" s="168" t="str">
        <f t="shared" si="59"/>
        <v>-26.2219042852663+9.15066446440568i</v>
      </c>
      <c r="AQ75" s="98">
        <f t="shared" si="60"/>
        <v>28.872362392190418</v>
      </c>
      <c r="AR75" s="169">
        <f t="shared" si="61"/>
        <v>160.76253224567242</v>
      </c>
      <c r="AS75" s="168" t="str">
        <f t="shared" si="62"/>
        <v>29.1993579410979+85.0882524934452i</v>
      </c>
      <c r="AT75" s="190">
        <f t="shared" si="63"/>
        <v>39.080887839453055</v>
      </c>
      <c r="AU75" s="169">
        <f t="shared" si="64"/>
        <v>71.059544751188014</v>
      </c>
      <c r="AV75" s="225"/>
      <c r="AX75">
        <f t="shared" si="65"/>
        <v>0</v>
      </c>
      <c r="AY75">
        <f t="shared" si="66"/>
        <v>0</v>
      </c>
    </row>
    <row r="76" spans="1:51" x14ac:dyDescent="0.2">
      <c r="N76" s="170">
        <v>58</v>
      </c>
      <c r="O76" s="199">
        <f t="shared" si="41"/>
        <v>38.018939632056139</v>
      </c>
      <c r="P76" s="189" t="str">
        <f t="shared" si="32"/>
        <v>771.276595744681</v>
      </c>
      <c r="Q76" s="160" t="str">
        <f t="shared" si="33"/>
        <v>1+243.657643748497i</v>
      </c>
      <c r="R76" s="160">
        <f t="shared" si="42"/>
        <v>243.65969579942737</v>
      </c>
      <c r="S76" s="160">
        <f t="shared" si="43"/>
        <v>1.5666922306948337</v>
      </c>
      <c r="T76" s="160" t="str">
        <f t="shared" si="34"/>
        <v>1+0.0000573312102937639i</v>
      </c>
      <c r="U76" s="160">
        <f t="shared" si="44"/>
        <v>1.0000000016434338</v>
      </c>
      <c r="V76" s="160">
        <f t="shared" si="45"/>
        <v>5.7331210230950531E-5</v>
      </c>
      <c r="W76" s="98" t="str">
        <f t="shared" si="35"/>
        <v>1-0.000162438429165664i</v>
      </c>
      <c r="X76" s="160">
        <f t="shared" si="46"/>
        <v>1.0000000131931215</v>
      </c>
      <c r="Y76" s="160">
        <f t="shared" si="47"/>
        <v>-1.6243842773695072E-4</v>
      </c>
      <c r="Z76" s="98" t="str">
        <f t="shared" si="36"/>
        <v>0.999999421824092-0.00111218541721373i</v>
      </c>
      <c r="AA76" s="160">
        <f t="shared" si="48"/>
        <v>1.0000000403024596</v>
      </c>
      <c r="AB76" s="160">
        <f t="shared" si="49"/>
        <v>-1.1121856016775029E-3</v>
      </c>
      <c r="AC76" s="171" t="str">
        <f t="shared" si="50"/>
        <v>0.0161787610341433-3.16534295563293i</v>
      </c>
      <c r="AD76" s="190">
        <f t="shared" si="51"/>
        <v>10.008528884779651</v>
      </c>
      <c r="AE76" s="169">
        <f t="shared" si="52"/>
        <v>-89.707151273698415</v>
      </c>
      <c r="AF76" s="98" t="str">
        <f t="shared" si="37"/>
        <v>-0.0000119284294234592</v>
      </c>
      <c r="AG76" s="98" t="str">
        <f t="shared" si="38"/>
        <v>1.33825377628218E-06i</v>
      </c>
      <c r="AH76" s="98">
        <f t="shared" si="53"/>
        <v>1.3382537762821799E-6</v>
      </c>
      <c r="AI76" s="98">
        <f t="shared" si="54"/>
        <v>1.5707963267948966</v>
      </c>
      <c r="AJ76" s="98" t="str">
        <f t="shared" si="39"/>
        <v>1+0.00115572537262309i</v>
      </c>
      <c r="AK76" s="98">
        <f t="shared" si="55"/>
        <v>1.0000006678503455</v>
      </c>
      <c r="AL76" s="98">
        <f t="shared" si="56"/>
        <v>1.1557248580556043E-3</v>
      </c>
      <c r="AM76" s="98" t="str">
        <f t="shared" si="40"/>
        <v>1+2.94300212841321i</v>
      </c>
      <c r="AN76" s="98">
        <f t="shared" si="57"/>
        <v>3.1082569919240406</v>
      </c>
      <c r="AO76" s="98">
        <f t="shared" si="58"/>
        <v>1.2432468919761663</v>
      </c>
      <c r="AP76" s="168" t="str">
        <f t="shared" si="59"/>
        <v>-26.2219027089005+8.94373387336061i</v>
      </c>
      <c r="AQ76" s="98">
        <f t="shared" si="60"/>
        <v>28.851228339786434</v>
      </c>
      <c r="AR76" s="169">
        <f t="shared" si="61"/>
        <v>161.16658164634637</v>
      </c>
      <c r="AS76" s="168" t="str">
        <f t="shared" si="62"/>
        <v>27.8857471153098+83.1460135560003i</v>
      </c>
      <c r="AT76" s="190">
        <f t="shared" si="63"/>
        <v>38.859757224566081</v>
      </c>
      <c r="AU76" s="169">
        <f t="shared" si="64"/>
        <v>71.459430372647958</v>
      </c>
      <c r="AV76" s="225"/>
      <c r="AX76">
        <f t="shared" si="65"/>
        <v>0</v>
      </c>
      <c r="AY76">
        <f t="shared" si="66"/>
        <v>0</v>
      </c>
    </row>
    <row r="77" spans="1:51" x14ac:dyDescent="0.2">
      <c r="N77" s="170">
        <v>59</v>
      </c>
      <c r="O77" s="199">
        <f t="shared" si="41"/>
        <v>38.904514499428053</v>
      </c>
      <c r="P77" s="189" t="str">
        <f t="shared" si="32"/>
        <v>771.276595744681</v>
      </c>
      <c r="Q77" s="160" t="str">
        <f t="shared" si="33"/>
        <v>1+249.333159363477i</v>
      </c>
      <c r="R77" s="160">
        <f t="shared" si="42"/>
        <v>249.33516470440549</v>
      </c>
      <c r="S77" s="160">
        <f t="shared" si="43"/>
        <v>1.5667856503140578</v>
      </c>
      <c r="T77" s="160" t="str">
        <f t="shared" si="34"/>
        <v>1+0.0000586666257325828i</v>
      </c>
      <c r="U77" s="160">
        <f t="shared" si="44"/>
        <v>1.0000000017208863</v>
      </c>
      <c r="V77" s="160">
        <f t="shared" si="45"/>
        <v>5.8666625665277065E-5</v>
      </c>
      <c r="W77" s="98" t="str">
        <f t="shared" si="35"/>
        <v>1-0.000166222106242318i</v>
      </c>
      <c r="X77" s="160">
        <f t="shared" si="46"/>
        <v>1.0000000138148943</v>
      </c>
      <c r="Y77" s="160">
        <f t="shared" si="47"/>
        <v>-1.6622210471142415E-4</v>
      </c>
      <c r="Z77" s="98" t="str">
        <f t="shared" si="36"/>
        <v>0.999999394575501-0.00113809154355166i</v>
      </c>
      <c r="AA77" s="160">
        <f t="shared" si="48"/>
        <v>1.0000000422018642</v>
      </c>
      <c r="AB77" s="160">
        <f t="shared" si="49"/>
        <v>-1.1380917412081493E-3</v>
      </c>
      <c r="AC77" s="171" t="str">
        <f t="shared" si="50"/>
        <v>0.0155940813038474-3.09329322066771i</v>
      </c>
      <c r="AD77" s="190">
        <f t="shared" si="51"/>
        <v>9.808532166668245</v>
      </c>
      <c r="AE77" s="169">
        <f t="shared" si="52"/>
        <v>-89.711159786198493</v>
      </c>
      <c r="AF77" s="98" t="str">
        <f t="shared" si="37"/>
        <v>-0.0000119284294234592</v>
      </c>
      <c r="AG77" s="98" t="str">
        <f t="shared" si="38"/>
        <v>1.36942571116281E-06i</v>
      </c>
      <c r="AH77" s="98">
        <f t="shared" si="53"/>
        <v>1.3694257111628101E-6</v>
      </c>
      <c r="AI77" s="98">
        <f t="shared" si="54"/>
        <v>1.5707963267948966</v>
      </c>
      <c r="AJ77" s="98" t="str">
        <f t="shared" si="39"/>
        <v>1+0.00118264567480627i</v>
      </c>
      <c r="AK77" s="98">
        <f t="shared" si="55"/>
        <v>1.0000006993251516</v>
      </c>
      <c r="AL77" s="98">
        <f t="shared" si="56"/>
        <v>1.1826451234372962E-3</v>
      </c>
      <c r="AM77" s="98" t="str">
        <f t="shared" si="40"/>
        <v>1+3.01155345427259i</v>
      </c>
      <c r="AN77" s="98">
        <f t="shared" si="57"/>
        <v>3.1732403325215013</v>
      </c>
      <c r="AO77" s="98">
        <f t="shared" si="58"/>
        <v>1.2501971266792871</v>
      </c>
      <c r="AP77" s="168" t="str">
        <f t="shared" si="59"/>
        <v>-26.2219010582431+8.74154536822772i</v>
      </c>
      <c r="AQ77" s="98">
        <f t="shared" si="60"/>
        <v>28.830948993708063</v>
      </c>
      <c r="AR77" s="169">
        <f t="shared" si="61"/>
        <v>161.56325834387079</v>
      </c>
      <c r="AS77" s="168" t="str">
        <f t="shared" si="62"/>
        <v>26.6312565686543+81.2483451456762i</v>
      </c>
      <c r="AT77" s="190">
        <f t="shared" si="63"/>
        <v>38.639481160376306</v>
      </c>
      <c r="AU77" s="169">
        <f t="shared" si="64"/>
        <v>71.852098557672335</v>
      </c>
      <c r="AV77" s="225"/>
      <c r="AX77">
        <f t="shared" si="65"/>
        <v>0</v>
      </c>
      <c r="AY77">
        <f t="shared" si="66"/>
        <v>0</v>
      </c>
    </row>
    <row r="78" spans="1:51" x14ac:dyDescent="0.2">
      <c r="N78" s="170">
        <v>60</v>
      </c>
      <c r="O78" s="199">
        <f t="shared" si="41"/>
        <v>39.810717055349755</v>
      </c>
      <c r="P78" s="189" t="str">
        <f t="shared" si="32"/>
        <v>771.276595744681</v>
      </c>
      <c r="Q78" s="160" t="str">
        <f t="shared" si="33"/>
        <v>1+255.140874719866i</v>
      </c>
      <c r="R78" s="160">
        <f t="shared" si="42"/>
        <v>255.14283441401673</v>
      </c>
      <c r="S78" s="160">
        <f t="shared" si="43"/>
        <v>1.5668769435107759</v>
      </c>
      <c r="T78" s="160" t="str">
        <f t="shared" si="34"/>
        <v>1+0.0000600331469929096i</v>
      </c>
      <c r="U78" s="160">
        <f t="shared" si="44"/>
        <v>1.0000000018019892</v>
      </c>
      <c r="V78" s="160">
        <f t="shared" si="45"/>
        <v>6.0033146920790203E-5</v>
      </c>
      <c r="W78" s="98" t="str">
        <f t="shared" si="35"/>
        <v>1-0.000170093916479911i</v>
      </c>
      <c r="X78" s="160">
        <f t="shared" si="46"/>
        <v>1.0000000144659702</v>
      </c>
      <c r="Y78" s="160">
        <f t="shared" si="47"/>
        <v>-1.7009391483952866E-4</v>
      </c>
      <c r="Z78" s="98" t="str">
        <f t="shared" si="36"/>
        <v>0.999999366042723-0.0011646011010904i</v>
      </c>
      <c r="AA78" s="160">
        <f t="shared" si="48"/>
        <v>1.0000000441907853</v>
      </c>
      <c r="AB78" s="160">
        <f t="shared" si="49"/>
        <v>-1.1646013128831401E-3</v>
      </c>
      <c r="AC78" s="171" t="str">
        <f t="shared" si="50"/>
        <v>0.015035715668556-3.02288337957751i</v>
      </c>
      <c r="AD78" s="190">
        <f t="shared" si="51"/>
        <v>9.6085352998893061</v>
      </c>
      <c r="AE78" s="169">
        <f t="shared" si="52"/>
        <v>-89.715015156973877</v>
      </c>
      <c r="AF78" s="98" t="str">
        <f t="shared" si="37"/>
        <v>-0.0000119284294234592</v>
      </c>
      <c r="AG78" s="98" t="str">
        <f t="shared" si="38"/>
        <v>0.000001401323733682i</v>
      </c>
      <c r="AH78" s="98">
        <f t="shared" si="53"/>
        <v>1.4013237336820001E-6</v>
      </c>
      <c r="AI78" s="98">
        <f t="shared" si="54"/>
        <v>1.5707963267948966</v>
      </c>
      <c r="AJ78" s="98" t="str">
        <f t="shared" si="39"/>
        <v>1+0.0012101930313804i</v>
      </c>
      <c r="AK78" s="98">
        <f t="shared" si="55"/>
        <v>1.0000007322833184</v>
      </c>
      <c r="AL78" s="98">
        <f t="shared" si="56"/>
        <v>1.2101924405779234E-3</v>
      </c>
      <c r="AM78" s="98" t="str">
        <f t="shared" si="40"/>
        <v>1+3.08170154563603i</v>
      </c>
      <c r="AN78" s="98">
        <f t="shared" si="57"/>
        <v>3.2398895685463565</v>
      </c>
      <c r="AO78" s="98">
        <f t="shared" si="58"/>
        <v>1.2570202945375542</v>
      </c>
      <c r="AP78" s="168" t="str">
        <f t="shared" si="59"/>
        <v>-26.2218993297926+8.543991745973i</v>
      </c>
      <c r="AQ78" s="98">
        <f t="shared" si="60"/>
        <v>28.811493546170354</v>
      </c>
      <c r="AR78" s="169">
        <f t="shared" si="61"/>
        <v>161.95261872004977</v>
      </c>
      <c r="AS78" s="168" t="str">
        <f t="shared" si="62"/>
        <v>25.433225621537+79.3942086955516i</v>
      </c>
      <c r="AT78" s="190">
        <f t="shared" si="63"/>
        <v>38.420028846059665</v>
      </c>
      <c r="AU78" s="169">
        <f t="shared" si="64"/>
        <v>72.237603563075851</v>
      </c>
      <c r="AV78" s="225"/>
      <c r="AX78">
        <f t="shared" si="65"/>
        <v>0</v>
      </c>
      <c r="AY78">
        <f t="shared" si="66"/>
        <v>0</v>
      </c>
    </row>
    <row r="79" spans="1:51" x14ac:dyDescent="0.2">
      <c r="N79" s="170">
        <v>61</v>
      </c>
      <c r="O79" s="199">
        <f t="shared" si="41"/>
        <v>40.738027780411279</v>
      </c>
      <c r="P79" s="189" t="str">
        <f t="shared" si="32"/>
        <v>771.276595744681</v>
      </c>
      <c r="Q79" s="160" t="str">
        <f t="shared" si="33"/>
        <v>1+261.083869145221i</v>
      </c>
      <c r="R79" s="160">
        <f t="shared" si="42"/>
        <v>261.08578423161782</v>
      </c>
      <c r="S79" s="160">
        <f t="shared" si="43"/>
        <v>1.5669661586837582</v>
      </c>
      <c r="T79" s="160" t="str">
        <f t="shared" si="34"/>
        <v>1+0.0000614314986224049i</v>
      </c>
      <c r="U79" s="160">
        <f t="shared" si="44"/>
        <v>1.0000000018869144</v>
      </c>
      <c r="V79" s="160">
        <f t="shared" si="45"/>
        <v>6.1431498545127573E-5</v>
      </c>
      <c r="W79" s="98" t="str">
        <f t="shared" si="35"/>
        <v>1-0.00017405591276348i</v>
      </c>
      <c r="X79" s="160">
        <f t="shared" si="46"/>
        <v>1.0000000151477302</v>
      </c>
      <c r="Y79" s="160">
        <f t="shared" si="47"/>
        <v>-1.7405591100577868E-4</v>
      </c>
      <c r="Z79" s="98" t="str">
        <f t="shared" si="36"/>
        <v>0.999999336165237-0.00119172814554825i</v>
      </c>
      <c r="AA79" s="160">
        <f t="shared" si="48"/>
        <v>1.0000000462734429</v>
      </c>
      <c r="AB79" s="160">
        <f t="shared" si="49"/>
        <v>-1.1917283724882544E-3</v>
      </c>
      <c r="AC79" s="171" t="str">
        <f t="shared" si="50"/>
        <v>0.0145024798717065-2.95407611422456i</v>
      </c>
      <c r="AD79" s="190">
        <f t="shared" si="51"/>
        <v>9.4085382910885791</v>
      </c>
      <c r="AE79" s="169">
        <f t="shared" si="52"/>
        <v>-89.718719429840746</v>
      </c>
      <c r="AF79" s="98" t="str">
        <f t="shared" si="37"/>
        <v>-0.0000119284294234592</v>
      </c>
      <c r="AG79" s="98" t="str">
        <f t="shared" si="38"/>
        <v>1.43396475659349E-06i</v>
      </c>
      <c r="AH79" s="98">
        <f t="shared" si="53"/>
        <v>1.4339647565934899E-6</v>
      </c>
      <c r="AI79" s="98">
        <f t="shared" si="54"/>
        <v>1.5707963267948966</v>
      </c>
      <c r="AJ79" s="98" t="str">
        <f t="shared" si="39"/>
        <v>1+0.00123838204831856i</v>
      </c>
      <c r="AK79" s="98">
        <f t="shared" si="55"/>
        <v>1.0000007667947548</v>
      </c>
      <c r="AL79" s="98">
        <f t="shared" si="56"/>
        <v>1.2383814152623271E-3</v>
      </c>
      <c r="AM79" s="98" t="str">
        <f t="shared" si="40"/>
        <v>1+3.15348359595012i</v>
      </c>
      <c r="AN79" s="98">
        <f t="shared" si="57"/>
        <v>3.30824104169066</v>
      </c>
      <c r="AO79" s="98">
        <f t="shared" si="58"/>
        <v>1.2637174711624164</v>
      </c>
      <c r="AP79" s="168" t="str">
        <f t="shared" si="59"/>
        <v>-26.2218975198832+8.35096826103794i</v>
      </c>
      <c r="AQ79" s="98">
        <f t="shared" si="60"/>
        <v>28.792831998404438</v>
      </c>
      <c r="AR79" s="169">
        <f t="shared" si="61"/>
        <v>162.33472356602979</v>
      </c>
      <c r="AS79" s="168" t="str">
        <f t="shared" si="62"/>
        <v>24.2891133295995+77.5825908822462i</v>
      </c>
      <c r="AT79" s="190">
        <f t="shared" si="63"/>
        <v>38.20137028949302</v>
      </c>
      <c r="AU79" s="169">
        <f t="shared" si="64"/>
        <v>72.616004136189076</v>
      </c>
      <c r="AV79" s="225"/>
      <c r="AX79">
        <f t="shared" si="65"/>
        <v>0</v>
      </c>
      <c r="AY79">
        <f t="shared" si="66"/>
        <v>0</v>
      </c>
    </row>
    <row r="80" spans="1:51" x14ac:dyDescent="0.2">
      <c r="N80" s="170">
        <v>62</v>
      </c>
      <c r="O80" s="199">
        <f t="shared" si="41"/>
        <v>41.686938347033561</v>
      </c>
      <c r="P80" s="189" t="str">
        <f t="shared" si="32"/>
        <v>771.276595744681</v>
      </c>
      <c r="Q80" s="160" t="str">
        <f t="shared" si="33"/>
        <v>1+267.165293693851i</v>
      </c>
      <c r="R80" s="160">
        <f t="shared" si="42"/>
        <v>267.16716518786819</v>
      </c>
      <c r="S80" s="160">
        <f t="shared" si="43"/>
        <v>1.5670533431303868</v>
      </c>
      <c r="T80" s="160" t="str">
        <f t="shared" si="34"/>
        <v>1+0.0000628624220456119i</v>
      </c>
      <c r="U80" s="160">
        <f t="shared" si="44"/>
        <v>1.0000000019758419</v>
      </c>
      <c r="V80" s="160">
        <f t="shared" si="45"/>
        <v>6.2862421962807762E-5</v>
      </c>
      <c r="W80" s="98" t="str">
        <f t="shared" si="35"/>
        <v>1-0.0001781101957959i</v>
      </c>
      <c r="X80" s="160">
        <f t="shared" si="46"/>
        <v>1.0000000158616207</v>
      </c>
      <c r="Y80" s="160">
        <f t="shared" si="47"/>
        <v>-1.7811019391248908E-4</v>
      </c>
      <c r="Z80" s="98" t="str">
        <f t="shared" si="36"/>
        <v>0.999999304879668-0.00121948706004327i</v>
      </c>
      <c r="AA80" s="160">
        <f t="shared" si="48"/>
        <v>1.0000000484542533</v>
      </c>
      <c r="AB80" s="160">
        <f t="shared" si="49"/>
        <v>-1.2194873032138603E-3</v>
      </c>
      <c r="AC80" s="171" t="str">
        <f t="shared" si="50"/>
        <v>0.0139932429506555-2.88683495523739i</v>
      </c>
      <c r="AD80" s="190">
        <f t="shared" si="51"/>
        <v>9.2085411466104716</v>
      </c>
      <c r="AE80" s="169">
        <f t="shared" si="52"/>
        <v>-89.722274568524242</v>
      </c>
      <c r="AF80" s="98" t="str">
        <f t="shared" si="37"/>
        <v>-0.0000119284294234592</v>
      </c>
      <c r="AG80" s="98" t="str">
        <f t="shared" si="38"/>
        <v>1.46736608659969E-06i</v>
      </c>
      <c r="AH80" s="98">
        <f t="shared" si="53"/>
        <v>1.4673660865996899E-6</v>
      </c>
      <c r="AI80" s="98">
        <f t="shared" si="54"/>
        <v>1.5707963267948966</v>
      </c>
      <c r="AJ80" s="98" t="str">
        <f t="shared" si="39"/>
        <v>1+0.00126722767181067i</v>
      </c>
      <c r="AK80" s="98">
        <f t="shared" si="55"/>
        <v>1.0000008029326637</v>
      </c>
      <c r="AL80" s="98">
        <f t="shared" si="56"/>
        <v>1.2672269934787244E-3</v>
      </c>
      <c r="AM80" s="98" t="str">
        <f t="shared" si="40"/>
        <v>1+3.22693766500808i</v>
      </c>
      <c r="AN80" s="98">
        <f t="shared" si="57"/>
        <v>3.3783319395594922</v>
      </c>
      <c r="AO80" s="98">
        <f t="shared" si="58"/>
        <v>1.2702898035807944</v>
      </c>
      <c r="AP80" s="168" t="str">
        <f t="shared" si="59"/>
        <v>-26.2218956246759+8.16237256980171i</v>
      </c>
      <c r="AQ80" s="98">
        <f t="shared" si="60"/>
        <v>28.774935164114062</v>
      </c>
      <c r="AR80" s="169">
        <f t="shared" si="61"/>
        <v>162.70963774527047</v>
      </c>
      <c r="AS80" s="168" t="str">
        <f t="shared" si="62"/>
        <v>23.1964930960716+75.8125029443238i</v>
      </c>
      <c r="AT80" s="190">
        <f t="shared" si="63"/>
        <v>37.983476310724541</v>
      </c>
      <c r="AU80" s="169">
        <f t="shared" si="64"/>
        <v>72.987363176746257</v>
      </c>
      <c r="AV80" s="225"/>
      <c r="AX80">
        <f t="shared" si="65"/>
        <v>0</v>
      </c>
      <c r="AY80">
        <f t="shared" si="66"/>
        <v>0</v>
      </c>
    </row>
    <row r="81" spans="14:51" x14ac:dyDescent="0.2">
      <c r="N81" s="170">
        <v>63</v>
      </c>
      <c r="O81" s="199">
        <f t="shared" si="41"/>
        <v>42.657951880159267</v>
      </c>
      <c r="P81" s="189" t="str">
        <f t="shared" si="32"/>
        <v>771.276595744681</v>
      </c>
      <c r="Q81" s="160" t="str">
        <f t="shared" si="33"/>
        <v>1+273.388372817547i</v>
      </c>
      <c r="R81" s="160">
        <f t="shared" si="42"/>
        <v>273.39020171144773</v>
      </c>
      <c r="S81" s="160">
        <f t="shared" si="43"/>
        <v>1.5671385430717042</v>
      </c>
      <c r="T81" s="160" t="str">
        <f t="shared" si="34"/>
        <v>1+0.0000643266759570698i</v>
      </c>
      <c r="U81" s="160">
        <f t="shared" si="44"/>
        <v>1.0000000020689606</v>
      </c>
      <c r="V81" s="160">
        <f t="shared" si="45"/>
        <v>6.4326675868343558E-5</v>
      </c>
      <c r="W81" s="98" t="str">
        <f t="shared" si="35"/>
        <v>1-0.000182258915211698i</v>
      </c>
      <c r="X81" s="160">
        <f t="shared" si="46"/>
        <v>1.0000000166091558</v>
      </c>
      <c r="Y81" s="160">
        <f t="shared" si="47"/>
        <v>-1.8225891319358686E-4</v>
      </c>
      <c r="Z81" s="98" t="str">
        <f t="shared" si="36"/>
        <v>0.999999272119657-0.00124789256271934i</v>
      </c>
      <c r="AA81" s="160">
        <f t="shared" si="48"/>
        <v>1.0000000507378446</v>
      </c>
      <c r="AB81" s="160">
        <f t="shared" si="49"/>
        <v>-1.2478928232813142E-3</v>
      </c>
      <c r="AC81" s="171" t="str">
        <f t="shared" si="50"/>
        <v>0.0135069248386198-2.82112426273711i</v>
      </c>
      <c r="AD81" s="190">
        <f t="shared" si="51"/>
        <v>9.0085438725116713</v>
      </c>
      <c r="AE81" s="169">
        <f t="shared" si="52"/>
        <v>-89.725682457698014</v>
      </c>
      <c r="AF81" s="98" t="str">
        <f t="shared" si="37"/>
        <v>-0.0000119284294234592</v>
      </c>
      <c r="AG81" s="98" t="str">
        <f t="shared" si="38"/>
        <v>0.0000015015454335279i</v>
      </c>
      <c r="AH81" s="98">
        <f t="shared" si="53"/>
        <v>1.5015454335279E-6</v>
      </c>
      <c r="AI81" s="98">
        <f t="shared" si="54"/>
        <v>1.5707963267948966</v>
      </c>
      <c r="AJ81" s="98" t="str">
        <f t="shared" si="39"/>
        <v>1+0.00129674519618812i</v>
      </c>
      <c r="AK81" s="98">
        <f t="shared" si="55"/>
        <v>1.0000008407736984</v>
      </c>
      <c r="AL81" s="98">
        <f t="shared" si="56"/>
        <v>1.296744469342378E-3</v>
      </c>
      <c r="AM81" s="98" t="str">
        <f t="shared" si="40"/>
        <v>1+3.30210269912958i</v>
      </c>
      <c r="AN81" s="98">
        <f t="shared" si="57"/>
        <v>3.4502003181842729</v>
      </c>
      <c r="AO81" s="98">
        <f t="shared" si="58"/>
        <v>1.2767385045521138</v>
      </c>
      <c r="AP81" s="168" t="str">
        <f t="shared" si="59"/>
        <v>-26.2218936401502+7.97810467631729i</v>
      </c>
      <c r="AQ81" s="98">
        <f t="shared" si="60"/>
        <v>28.75777467045253</v>
      </c>
      <c r="AR81" s="169">
        <f t="shared" si="61"/>
        <v>163.07742986748016</v>
      </c>
      <c r="AS81" s="168" t="str">
        <f t="shared" si="62"/>
        <v>22.1530475264913+74.0829800233573i</v>
      </c>
      <c r="AT81" s="190">
        <f t="shared" si="63"/>
        <v>37.7663185429642</v>
      </c>
      <c r="AU81" s="169">
        <f t="shared" si="64"/>
        <v>73.351747409782149</v>
      </c>
      <c r="AV81" s="225"/>
      <c r="AX81">
        <f t="shared" si="65"/>
        <v>0</v>
      </c>
      <c r="AY81">
        <f t="shared" si="66"/>
        <v>0</v>
      </c>
    </row>
    <row r="82" spans="14:51" x14ac:dyDescent="0.2">
      <c r="N82" s="170">
        <v>64</v>
      </c>
      <c r="O82" s="199">
        <f t="shared" si="41"/>
        <v>43.651583224016633</v>
      </c>
      <c r="P82" s="189" t="str">
        <f t="shared" si="32"/>
        <v>771.276595744681</v>
      </c>
      <c r="Q82" s="160" t="str">
        <f t="shared" si="33"/>
        <v>1+279.756406075233i</v>
      </c>
      <c r="R82" s="160">
        <f t="shared" si="42"/>
        <v>279.75819333869504</v>
      </c>
      <c r="S82" s="160">
        <f t="shared" si="43"/>
        <v>1.5672218036768966</v>
      </c>
      <c r="T82" s="160" t="str">
        <f t="shared" si="34"/>
        <v>1+0.0000658250367235843i</v>
      </c>
      <c r="U82" s="160">
        <f t="shared" si="44"/>
        <v>1.0000000021664677</v>
      </c>
      <c r="V82" s="160">
        <f t="shared" si="45"/>
        <v>6.5825036628512426E-5</v>
      </c>
      <c r="W82" s="98" t="str">
        <f t="shared" si="35"/>
        <v>1-0.000186504270716822i</v>
      </c>
      <c r="X82" s="160">
        <f t="shared" si="46"/>
        <v>1.0000000173919212</v>
      </c>
      <c r="Y82" s="160">
        <f t="shared" si="47"/>
        <v>-1.8650426855437694E-4</v>
      </c>
      <c r="Z82" s="98" t="str">
        <f t="shared" si="36"/>
        <v>0.999999237815713-0.00127695971454997i</v>
      </c>
      <c r="AA82" s="160">
        <f t="shared" si="48"/>
        <v>1.0000000531290583</v>
      </c>
      <c r="AB82" s="160">
        <f t="shared" si="49"/>
        <v>-1.2769599937471484E-3</v>
      </c>
      <c r="AC82" s="171" t="str">
        <f t="shared" si="50"/>
        <v>0.0130424940745007-2.75690920749926i</v>
      </c>
      <c r="AD82" s="190">
        <f t="shared" si="51"/>
        <v>8.8085464745739959</v>
      </c>
      <c r="AE82" s="169">
        <f t="shared" si="52"/>
        <v>-89.728944903982125</v>
      </c>
      <c r="AF82" s="98" t="str">
        <f t="shared" si="37"/>
        <v>-0.0000119284294234592</v>
      </c>
      <c r="AG82" s="98" t="str">
        <f t="shared" si="38"/>
        <v>1.53652091972027E-06i</v>
      </c>
      <c r="AH82" s="98">
        <f t="shared" si="53"/>
        <v>1.53652091972027E-6</v>
      </c>
      <c r="AI82" s="98">
        <f t="shared" si="54"/>
        <v>1.5707963267948966</v>
      </c>
      <c r="AJ82" s="98" t="str">
        <f t="shared" si="39"/>
        <v>1+0.00132695027203303i</v>
      </c>
      <c r="AK82" s="98">
        <f t="shared" si="55"/>
        <v>1.0000008803981246</v>
      </c>
      <c r="AL82" s="98">
        <f t="shared" si="56"/>
        <v>1.3269494932038226E-3</v>
      </c>
      <c r="AM82" s="98" t="str">
        <f t="shared" si="40"/>
        <v>1+3.37901855181066i</v>
      </c>
      <c r="AN82" s="98">
        <f t="shared" si="57"/>
        <v>3.5238851248984564</v>
      </c>
      <c r="AO82" s="98">
        <f t="shared" si="58"/>
        <v>1.2830648470846282</v>
      </c>
      <c r="AP82" s="168" t="str">
        <f t="shared" si="59"/>
        <v>-26.2218915620969+7.79806687929232i</v>
      </c>
      <c r="AQ82" s="98">
        <f t="shared" si="60"/>
        <v>28.741322956716498</v>
      </c>
      <c r="AR82" s="169">
        <f t="shared" si="61"/>
        <v>163.4381719739599</v>
      </c>
      <c r="AS82" s="168" t="str">
        <f t="shared" si="62"/>
        <v>21.1565635148952+72.3930805266578i</v>
      </c>
      <c r="AT82" s="190">
        <f t="shared" si="63"/>
        <v>37.549869431290489</v>
      </c>
      <c r="AU82" s="169">
        <f t="shared" si="64"/>
        <v>73.709227069977757</v>
      </c>
      <c r="AV82" s="225"/>
      <c r="AX82">
        <f t="shared" si="65"/>
        <v>0</v>
      </c>
      <c r="AY82">
        <f t="shared" si="66"/>
        <v>0</v>
      </c>
    </row>
    <row r="83" spans="14:51" x14ac:dyDescent="0.2">
      <c r="N83" s="170">
        <v>65</v>
      </c>
      <c r="O83" s="199">
        <f t="shared" si="41"/>
        <v>44.668359215096324</v>
      </c>
      <c r="P83" s="189" t="str">
        <f t="shared" ref="P83:P146" si="67">COMPLEX(Adc,0)</f>
        <v>771.276595744681</v>
      </c>
      <c r="Q83" s="160" t="str">
        <f t="shared" ref="Q83:Q146" si="68">IMSUM(COMPLEX(1,0),IMDIV(COMPLEX(0,2*PI()*O83),COMPLEX(wp_lf,0)))</f>
        <v>1+286.272769882435i</v>
      </c>
      <c r="R83" s="160">
        <f t="shared" si="42"/>
        <v>286.27451646306486</v>
      </c>
      <c r="S83" s="160">
        <f t="shared" si="43"/>
        <v>1.5673031690872188</v>
      </c>
      <c r="T83" s="160" t="str">
        <f t="shared" ref="T83:T146" si="69">IMSUM(COMPLEX(1,0),IMDIV(COMPLEX(0,2*PI()*O83),COMPLEX(wz_esr,0)))</f>
        <v>1+0.0000673582987958671i</v>
      </c>
      <c r="U83" s="160">
        <f t="shared" si="44"/>
        <v>1.0000000022685702</v>
      </c>
      <c r="V83" s="160">
        <f t="shared" si="45"/>
        <v>6.7358298693995754E-5</v>
      </c>
      <c r="W83" s="98" t="str">
        <f t="shared" ref="W83:W146" si="70">IMSUB(COMPLEX(1,0),IMDIV(COMPLEX(0,2*PI()*O83),COMPLEX(wz_rhp,0)))</f>
        <v>1-0.000190848513254957i</v>
      </c>
      <c r="X83" s="160">
        <f t="shared" si="46"/>
        <v>1.0000000182115774</v>
      </c>
      <c r="Y83" s="160">
        <f t="shared" si="47"/>
        <v>-1.9084851093785539E-4</v>
      </c>
      <c r="Z83" s="98" t="str">
        <f t="shared" ref="Z83:Z146" si="71">IF(Dc_Mode_Loop="CCM",IMSUM(COMPLEX(1,0),IMDIV(COMPLEX(0,2*PI()*O83),COMPLEX(Q*(wsl/2),0)),IMDIV(IMPOWER(COMPLEX(0,2*PI()*O83),2),IMPOWER(COMPLEX(wsl/2,0),2))),COMPLEX(1,0))</f>
        <v>0.999999201895074-0.00130670392732381i</v>
      </c>
      <c r="AA83" s="160">
        <f t="shared" si="48"/>
        <v>1.0000000556329678</v>
      </c>
      <c r="AB83" s="160">
        <f t="shared" si="49"/>
        <v>-1.3067042264889683E-3</v>
      </c>
      <c r="AC83" s="171" t="str">
        <f t="shared" si="50"/>
        <v>0.0125989656157353-2.69415575254152i</v>
      </c>
      <c r="AD83" s="190">
        <f t="shared" si="51"/>
        <v>8.6085489583165149</v>
      </c>
      <c r="AE83" s="169">
        <f t="shared" si="52"/>
        <v>-89.732063636899497</v>
      </c>
      <c r="AF83" s="98" t="str">
        <f t="shared" ref="AF83:AF146" si="72">COMPLEX(Adc_ea,0)</f>
        <v>-0.0000119284294234592</v>
      </c>
      <c r="AG83" s="98" t="str">
        <f t="shared" ref="AG83:AG146" si="73">COMPLEX(0,2*PI()*O83*wp0_ea)</f>
        <v>1.57231108964253E-06i</v>
      </c>
      <c r="AH83" s="98">
        <f t="shared" si="53"/>
        <v>1.57231108964253E-6</v>
      </c>
      <c r="AI83" s="98">
        <f t="shared" si="54"/>
        <v>1.5707963267948966</v>
      </c>
      <c r="AJ83" s="98" t="str">
        <f t="shared" ref="AJ83:AJ146" si="74">IMSUM(COMPLEX(1,0),IMDIV(COMPLEX(0,2*PI()*O83),COMPLEX(wp1_ea,0)))</f>
        <v>1+0.00135785891447644i</v>
      </c>
      <c r="AK83" s="98">
        <f t="shared" si="55"/>
        <v>1.0000009218899908</v>
      </c>
      <c r="AL83" s="98">
        <f t="shared" si="56"/>
        <v>1.3578580799459504E-3</v>
      </c>
      <c r="AM83" s="98" t="str">
        <f t="shared" ref="AM83:AM146" si="75">IMSUM(COMPLEX(1,0),IMDIV(COMPLEX(0,2*PI()*O83),COMPLEX(wz_ea,0)))</f>
        <v>1+3.45772600485451i</v>
      </c>
      <c r="AN83" s="98">
        <f t="shared" si="57"/>
        <v>3.5994262215868704</v>
      </c>
      <c r="AO83" s="98">
        <f t="shared" si="58"/>
        <v>1.289270159156912</v>
      </c>
      <c r="AP83" s="168" t="str">
        <f t="shared" si="59"/>
        <v>-26.2218893861085+7.62216372028641i</v>
      </c>
      <c r="AQ83" s="98">
        <f t="shared" si="60"/>
        <v>28.725553270946801</v>
      </c>
      <c r="AR83" s="169">
        <f t="shared" si="61"/>
        <v>163.79193923469228</v>
      </c>
      <c r="AS83" s="168" t="str">
        <f t="shared" si="62"/>
        <v>20.2049275510677+70.741885510721i</v>
      </c>
      <c r="AT83" s="190">
        <f t="shared" si="63"/>
        <v>37.334102229263308</v>
      </c>
      <c r="AU83" s="169">
        <f t="shared" si="64"/>
        <v>74.059875597792796</v>
      </c>
      <c r="AV83" s="225"/>
      <c r="AX83">
        <f t="shared" si="65"/>
        <v>0</v>
      </c>
      <c r="AY83">
        <f t="shared" si="66"/>
        <v>0</v>
      </c>
    </row>
    <row r="84" spans="14:51" x14ac:dyDescent="0.2">
      <c r="N84" s="170">
        <v>66</v>
      </c>
      <c r="O84" s="199">
        <f t="shared" ref="O84:O118" si="76">10^(1+(N84/100))</f>
        <v>45.70881896148753</v>
      </c>
      <c r="P84" s="189" t="str">
        <f t="shared" si="67"/>
        <v>771.276595744681</v>
      </c>
      <c r="Q84" s="160" t="str">
        <f t="shared" si="68"/>
        <v>1+292.940919301497i</v>
      </c>
      <c r="R84" s="160">
        <f t="shared" ref="R84:R147" si="77">IMABS(Q84)</f>
        <v>292.9426261253322</v>
      </c>
      <c r="S84" s="160">
        <f t="shared" ref="S84:S147" si="78">IMARGUMENT(Q84)</f>
        <v>1.5673826824393766</v>
      </c>
      <c r="T84" s="160" t="str">
        <f t="shared" si="69"/>
        <v>1+0.000068927275129764i</v>
      </c>
      <c r="U84" s="160">
        <f t="shared" ref="U84:U147" si="79">IMABS(T84)</f>
        <v>1.0000000023754845</v>
      </c>
      <c r="V84" s="160">
        <f t="shared" ref="V84:V147" si="80">IMARGUMENT(T84)</f>
        <v>6.8927275020606873E-5</v>
      </c>
      <c r="W84" s="98" t="str">
        <f t="shared" si="70"/>
        <v>1-0.000195293946200998i</v>
      </c>
      <c r="X84" s="160">
        <f t="shared" ref="X84:X147" si="81">IMABS(W84)</f>
        <v>1.0000000190698626</v>
      </c>
      <c r="Y84" s="160">
        <f t="shared" ref="Y84:Y147" si="82">IMARGUMENT(W84)</f>
        <v>-1.9529394371817891E-4</v>
      </c>
      <c r="Z84" s="98" t="str">
        <f t="shared" si="71"/>
        <v>0.999999164281548-0.0013371409718162i</v>
      </c>
      <c r="AA84" s="160">
        <f t="shared" ref="AA84:AA147" si="83">IMABS(Z84)</f>
        <v>1.0000000582548847</v>
      </c>
      <c r="AB84" s="160">
        <f t="shared" ref="AB84:AB147" si="84">IMARGUMENT(Z84)</f>
        <v>-1.3371412923774326E-3</v>
      </c>
      <c r="AC84" s="171" t="str">
        <f t="shared" ref="AC84:AC147" si="85">(IMDIV(IMPRODUCT(P84,T84,W84),IMPRODUCT(Q84,Z84)))</f>
        <v>0.0121753987495469-2.6328306351279i</v>
      </c>
      <c r="AD84" s="190">
        <f t="shared" ref="AD84:AD147" si="86">20*LOG(IMABS(AC84))</f>
        <v>8.4085513290073166</v>
      </c>
      <c r="AE84" s="169">
        <f t="shared" ref="AE84:AE147" si="87">(180/PI())*IMARGUMENT(AC84)</f>
        <v>-89.735040309791657</v>
      </c>
      <c r="AF84" s="98" t="str">
        <f t="shared" si="72"/>
        <v>-0.0000119284294234592</v>
      </c>
      <c r="AG84" s="98" t="str">
        <f t="shared" si="73"/>
        <v>1.60893491971652E-06i</v>
      </c>
      <c r="AH84" s="98">
        <f t="shared" ref="AH84:AH147" si="88">IMABS(AG84)</f>
        <v>1.6089349197165201E-6</v>
      </c>
      <c r="AI84" s="98">
        <f t="shared" ref="AI84:AI147" si="89">IMARGUMENT(AG84)</f>
        <v>1.5707963267948966</v>
      </c>
      <c r="AJ84" s="98" t="str">
        <f t="shared" si="74"/>
        <v>1+0.00138948751168969i</v>
      </c>
      <c r="AK84" s="98">
        <f t="shared" ref="AK84:AK147" si="90">IMABS(AJ84)</f>
        <v>1.0000009653373068</v>
      </c>
      <c r="AL84" s="98">
        <f t="shared" ref="AL84:AL147" si="91">IMARGUMENT(AJ84)</f>
        <v>1.3894866174742062E-3</v>
      </c>
      <c r="AM84" s="98" t="str">
        <f t="shared" si="75"/>
        <v>1+3.53826678999455i</v>
      </c>
      <c r="AN84" s="98">
        <f t="shared" ref="AN84:AN147" si="92">IMABS(AM84)</f>
        <v>3.676864408321082</v>
      </c>
      <c r="AO84" s="98">
        <f t="shared" ref="AO84:AO147" si="93">IMARGUMENT(AM84)</f>
        <v>1.2953558186487715</v>
      </c>
      <c r="AP84" s="168" t="str">
        <f t="shared" ref="AP84:AP147" si="94">IMPRODUCT(AF84,IMDIV(AM84,IMPRODUCT(AG84,AJ84)))</f>
        <v>-26.2218871075694+7.45030193309767i</v>
      </c>
      <c r="AQ84" s="98">
        <f t="shared" ref="AQ84:AQ147" si="95">20*LOG(IMABS(AP84))</f>
        <v>28.710439664621493</v>
      </c>
      <c r="AR84" s="169">
        <f t="shared" ref="AR84:AR147" si="96">(180/PI())*IMARGUMENT(AP84)</f>
        <v>164.13880965741711</v>
      </c>
      <c r="AS84" s="168" t="str">
        <f t="shared" ref="AS84:AS147" si="97">IMPRODUCT(AC84,AP84)</f>
        <v>19.2961212389119+69.128498084514i</v>
      </c>
      <c r="AT84" s="190">
        <f t="shared" ref="AT84:AT147" si="98">20*LOG(IMABS(AS84))</f>
        <v>37.118990993628806</v>
      </c>
      <c r="AU84" s="169">
        <f t="shared" ref="AU84:AU147" si="99">(180/PI())*IMARGUMENT(AS84)</f>
        <v>74.403769347625442</v>
      </c>
      <c r="AV84" s="225"/>
      <c r="AX84">
        <f t="shared" ref="AX84:AX147" si="100">SUM((AT85&lt;0)*(AT84&gt;0))*O84</f>
        <v>0</v>
      </c>
      <c r="AY84">
        <f t="shared" ref="AY84:AY147" si="101">IF(AX84&gt;0,AU84,0)</f>
        <v>0</v>
      </c>
    </row>
    <row r="85" spans="14:51" x14ac:dyDescent="0.2">
      <c r="N85" s="170">
        <v>67</v>
      </c>
      <c r="O85" s="199">
        <f t="shared" si="76"/>
        <v>46.773514128719818</v>
      </c>
      <c r="P85" s="189" t="str">
        <f t="shared" si="67"/>
        <v>771.276595744681</v>
      </c>
      <c r="Q85" s="160" t="str">
        <f t="shared" si="68"/>
        <v>1+299.764389873504i</v>
      </c>
      <c r="R85" s="160">
        <f t="shared" si="77"/>
        <v>299.76605784550412</v>
      </c>
      <c r="S85" s="160">
        <f t="shared" si="78"/>
        <v>1.5674603858883778</v>
      </c>
      <c r="T85" s="160" t="str">
        <f t="shared" si="69"/>
        <v>1+0.0000705327976172949i</v>
      </c>
      <c r="U85" s="160">
        <f t="shared" si="79"/>
        <v>1.0000000024874378</v>
      </c>
      <c r="V85" s="160">
        <f t="shared" si="80"/>
        <v>7.0532797500330946E-5</v>
      </c>
      <c r="W85" s="98" t="str">
        <f t="shared" si="70"/>
        <v>1-0.000199842926582335i</v>
      </c>
      <c r="X85" s="160">
        <f t="shared" si="81"/>
        <v>1.0000000199685974</v>
      </c>
      <c r="Y85" s="160">
        <f t="shared" si="82"/>
        <v>-1.998429239219464E-4</v>
      </c>
      <c r="Z85" s="98" t="str">
        <f t="shared" si="71"/>
        <v>0.99999912489535-0.00136828698615099i</v>
      </c>
      <c r="AA85" s="160">
        <f t="shared" si="83"/>
        <v>1.0000000610003692</v>
      </c>
      <c r="AB85" s="160">
        <f t="shared" si="84"/>
        <v>-1.3682873296385299E-3</v>
      </c>
      <c r="AC85" s="171" t="str">
        <f t="shared" si="85"/>
        <v>0.0117708950981657-2.57290134918006i</v>
      </c>
      <c r="AD85" s="190">
        <f t="shared" si="86"/>
        <v>8.208553591674848</v>
      </c>
      <c r="AE85" s="169">
        <f t="shared" si="87"/>
        <v>-89.737876500694185</v>
      </c>
      <c r="AF85" s="98" t="str">
        <f t="shared" si="72"/>
        <v>-0.0000119284294234592</v>
      </c>
      <c r="AG85" s="98" t="str">
        <f t="shared" si="73"/>
        <v>1.64641182838171E-06i</v>
      </c>
      <c r="AH85" s="98">
        <f t="shared" si="88"/>
        <v>1.64641182838171E-6</v>
      </c>
      <c r="AI85" s="98">
        <f t="shared" si="89"/>
        <v>1.5707963267948966</v>
      </c>
      <c r="AJ85" s="98" t="str">
        <f t="shared" si="74"/>
        <v>1+0.00142185283357369i</v>
      </c>
      <c r="AK85" s="98">
        <f t="shared" si="90"/>
        <v>1.0000010108322293</v>
      </c>
      <c r="AL85" s="98">
        <f t="shared" si="91"/>
        <v>1.4218518754045885E-3</v>
      </c>
      <c r="AM85" s="98" t="str">
        <f t="shared" si="75"/>
        <v>1+3.62068361102114i</v>
      </c>
      <c r="AN85" s="98">
        <f t="shared" si="92"/>
        <v>3.7562414473935357</v>
      </c>
      <c r="AO85" s="98">
        <f t="shared" si="93"/>
        <v>1.3013232484842479</v>
      </c>
      <c r="AP85" s="168" t="str">
        <f t="shared" si="94"/>
        <v>-26.2218847216464+7.28239039431179i</v>
      </c>
      <c r="AQ85" s="98">
        <f t="shared" si="95"/>
        <v>28.695956985618981</v>
      </c>
      <c r="AR85" s="169">
        <f t="shared" si="96"/>
        <v>164.47886380884805</v>
      </c>
      <c r="AS85" s="168" t="str">
        <f t="shared" si="97"/>
        <v>18.428217016446+67.5520428317634i</v>
      </c>
      <c r="AT85" s="190">
        <f t="shared" si="98"/>
        <v>36.904510577293834</v>
      </c>
      <c r="AU85" s="169">
        <f t="shared" si="99"/>
        <v>74.74098730815389</v>
      </c>
      <c r="AV85" s="225"/>
      <c r="AX85">
        <f t="shared" si="100"/>
        <v>0</v>
      </c>
      <c r="AY85">
        <f t="shared" si="101"/>
        <v>0</v>
      </c>
    </row>
    <row r="86" spans="14:51" x14ac:dyDescent="0.2">
      <c r="N86" s="170">
        <v>68</v>
      </c>
      <c r="O86" s="199">
        <f t="shared" si="76"/>
        <v>47.863009232263877</v>
      </c>
      <c r="P86" s="189" t="str">
        <f t="shared" si="67"/>
        <v>771.276595744681</v>
      </c>
      <c r="Q86" s="160" t="str">
        <f t="shared" si="68"/>
        <v>1+306.746799492872i</v>
      </c>
      <c r="R86" s="160">
        <f t="shared" si="77"/>
        <v>306.74842949739809</v>
      </c>
      <c r="S86" s="160">
        <f t="shared" si="78"/>
        <v>1.567536320629864</v>
      </c>
      <c r="T86" s="160" t="str">
        <f t="shared" si="69"/>
        <v>1+0.0000721757175277346i</v>
      </c>
      <c r="U86" s="160">
        <f t="shared" si="79"/>
        <v>1.0000000026046671</v>
      </c>
      <c r="V86" s="160">
        <f t="shared" si="80"/>
        <v>7.2175717402405445E-5</v>
      </c>
      <c r="W86" s="98" t="str">
        <f t="shared" si="70"/>
        <v>1-0.000204497866328581i</v>
      </c>
      <c r="X86" s="160">
        <f t="shared" si="81"/>
        <v>1.0000000209096884</v>
      </c>
      <c r="Y86" s="160">
        <f t="shared" si="82"/>
        <v>-2.0449786347792324E-4</v>
      </c>
      <c r="Z86" s="98" t="str">
        <f t="shared" si="71"/>
        <v>0.999999083652939-0.00140015848435726i</v>
      </c>
      <c r="AA86" s="160">
        <f t="shared" si="83"/>
        <v>1.0000000638752473</v>
      </c>
      <c r="AB86" s="160">
        <f t="shared" si="84"/>
        <v>-1.4001588524107775E-3</v>
      </c>
      <c r="AC86" s="171" t="str">
        <f t="shared" si="85"/>
        <v>0.0113845967137946-2.51433612808652i</v>
      </c>
      <c r="AD86" s="190">
        <f t="shared" si="86"/>
        <v>8.0085557511183065</v>
      </c>
      <c r="AE86" s="169">
        <f t="shared" si="87"/>
        <v>-89.740573713172225</v>
      </c>
      <c r="AF86" s="98" t="str">
        <f t="shared" si="72"/>
        <v>-0.0000119284294234592</v>
      </c>
      <c r="AG86" s="98" t="str">
        <f t="shared" si="73"/>
        <v>1.68476168639115E-06i</v>
      </c>
      <c r="AH86" s="98">
        <f t="shared" si="88"/>
        <v>1.6847616863911499E-6</v>
      </c>
      <c r="AI86" s="98">
        <f t="shared" si="89"/>
        <v>1.5707963267948966</v>
      </c>
      <c r="AJ86" s="98" t="str">
        <f t="shared" si="74"/>
        <v>1+0.00145497204065049i</v>
      </c>
      <c r="AK86" s="98">
        <f t="shared" si="90"/>
        <v>1.0000010584712593</v>
      </c>
      <c r="AL86" s="98">
        <f t="shared" si="91"/>
        <v>1.4549710139538587E-3</v>
      </c>
      <c r="AM86" s="98" t="str">
        <f t="shared" si="75"/>
        <v>1+3.70502016642371i</v>
      </c>
      <c r="AN86" s="98">
        <f t="shared" si="92"/>
        <v>3.8376000877640148</v>
      </c>
      <c r="AO86" s="98">
        <f t="shared" si="93"/>
        <v>1.3071739119880217</v>
      </c>
      <c r="AP86" s="168" t="str">
        <f t="shared" si="94"/>
        <v>-26.2218822232788+7.11834007498695i</v>
      </c>
      <c r="AQ86" s="98">
        <f t="shared" si="95"/>
        <v>28.682080869621146</v>
      </c>
      <c r="AR86" s="169">
        <f t="shared" si="96"/>
        <v>164.81218454810551</v>
      </c>
      <c r="AS86" s="168" t="str">
        <f t="shared" si="97"/>
        <v>17.5993740683571+66.011665251445i</v>
      </c>
      <c r="AT86" s="190">
        <f t="shared" si="98"/>
        <v>36.690636620739454</v>
      </c>
      <c r="AU86" s="169">
        <f t="shared" si="99"/>
        <v>75.071610834933338</v>
      </c>
      <c r="AV86" s="225"/>
      <c r="AX86">
        <f t="shared" si="100"/>
        <v>0</v>
      </c>
      <c r="AY86">
        <f t="shared" si="101"/>
        <v>0</v>
      </c>
    </row>
    <row r="87" spans="14:51" x14ac:dyDescent="0.2">
      <c r="N87" s="170">
        <v>69</v>
      </c>
      <c r="O87" s="199">
        <f t="shared" si="76"/>
        <v>48.977881936844632</v>
      </c>
      <c r="P87" s="189" t="str">
        <f t="shared" si="67"/>
        <v>771.276595744681</v>
      </c>
      <c r="Q87" s="160" t="str">
        <f t="shared" si="68"/>
        <v>1+313.891850325606i</v>
      </c>
      <c r="R87" s="160">
        <f t="shared" si="77"/>
        <v>313.89344322688976</v>
      </c>
      <c r="S87" s="160">
        <f t="shared" si="78"/>
        <v>1.5676105269219358</v>
      </c>
      <c r="T87" s="160" t="str">
        <f t="shared" si="69"/>
        <v>1+0.0000738569059589661i</v>
      </c>
      <c r="U87" s="160">
        <f t="shared" si="79"/>
        <v>1.0000000027274212</v>
      </c>
      <c r="V87" s="160">
        <f t="shared" si="80"/>
        <v>7.3856905824673495E-5</v>
      </c>
      <c r="W87" s="98" t="str">
        <f t="shared" si="70"/>
        <v>1-0.000209261233550404i</v>
      </c>
      <c r="X87" s="160">
        <f t="shared" si="81"/>
        <v>1.0000000218951317</v>
      </c>
      <c r="Y87" s="160">
        <f t="shared" si="82"/>
        <v>-2.0926123049586922E-4</v>
      </c>
      <c r="Z87" s="98" t="str">
        <f t="shared" si="71"/>
        <v>0.999999040466832-0.00143277236512523i</v>
      </c>
      <c r="AA87" s="160">
        <f t="shared" si="83"/>
        <v>1.000000066885615</v>
      </c>
      <c r="AB87" s="160">
        <f t="shared" si="84"/>
        <v>-1.432772759501667E-3</v>
      </c>
      <c r="AC87" s="171" t="str">
        <f t="shared" si="85"/>
        <v>0.0110156842592861-2.45710392790114i</v>
      </c>
      <c r="AD87" s="190">
        <f t="shared" si="86"/>
        <v>7.8085578119181056</v>
      </c>
      <c r="AE87" s="169">
        <f t="shared" si="87"/>
        <v>-89.743133377116749</v>
      </c>
      <c r="AF87" s="98" t="str">
        <f t="shared" si="72"/>
        <v>-0.0000119284294234592</v>
      </c>
      <c r="AG87" s="98" t="str">
        <f t="shared" si="73"/>
        <v>1.72400482734717E-06i</v>
      </c>
      <c r="AH87" s="98">
        <f t="shared" si="88"/>
        <v>1.72400482734717E-6</v>
      </c>
      <c r="AI87" s="98">
        <f t="shared" si="89"/>
        <v>1.5707963267948966</v>
      </c>
      <c r="AJ87" s="98" t="str">
        <f t="shared" si="74"/>
        <v>1+0.00148886269316207i</v>
      </c>
      <c r="AK87" s="98">
        <f t="shared" si="90"/>
        <v>1.0000011083554454</v>
      </c>
      <c r="AL87" s="98">
        <f t="shared" si="91"/>
        <v>1.4888615930368746E-3</v>
      </c>
      <c r="AM87" s="98" t="str">
        <f t="shared" si="75"/>
        <v>1+3.79132117256026i</v>
      </c>
      <c r="AN87" s="98">
        <f t="shared" si="92"/>
        <v>3.9209840899324879</v>
      </c>
      <c r="AO87" s="98">
        <f t="shared" si="93"/>
        <v>1.3129093084552743</v>
      </c>
      <c r="AP87" s="168" t="str">
        <f t="shared" si="94"/>
        <v>-26.2218796071673+6.95806399344951i</v>
      </c>
      <c r="AQ87" s="98">
        <f t="shared" si="95"/>
        <v>28.668787730118375</v>
      </c>
      <c r="AR87" s="169">
        <f t="shared" si="96"/>
        <v>165.13885677236664</v>
      </c>
      <c r="AS87" s="168" t="str">
        <f t="shared" si="97"/>
        <v>16.8078344224547+64.5065312157293i</v>
      </c>
      <c r="AT87" s="190">
        <f t="shared" si="98"/>
        <v>36.477345542036474</v>
      </c>
      <c r="AU87" s="169">
        <f t="shared" si="99"/>
        <v>75.395723395249917</v>
      </c>
      <c r="AV87" s="225"/>
      <c r="AX87">
        <f t="shared" si="100"/>
        <v>0</v>
      </c>
      <c r="AY87">
        <f t="shared" si="101"/>
        <v>0</v>
      </c>
    </row>
    <row r="88" spans="14:51" x14ac:dyDescent="0.2">
      <c r="N88" s="170">
        <v>70</v>
      </c>
      <c r="O88" s="199">
        <f t="shared" si="76"/>
        <v>50.118723362727238</v>
      </c>
      <c r="P88" s="189" t="str">
        <f t="shared" si="67"/>
        <v>771.276595744681</v>
      </c>
      <c r="Q88" s="160" t="str">
        <f t="shared" si="68"/>
        <v>1+321.203330772232i</v>
      </c>
      <c r="R88" s="160">
        <f t="shared" si="77"/>
        <v>321.20488741483348</v>
      </c>
      <c r="S88" s="160">
        <f t="shared" si="78"/>
        <v>1.5676830441064802</v>
      </c>
      <c r="T88" s="160" t="str">
        <f t="shared" si="69"/>
        <v>1+0.0000755772542993486i</v>
      </c>
      <c r="U88" s="160">
        <f t="shared" si="79"/>
        <v>1.0000000028559606</v>
      </c>
      <c r="V88" s="160">
        <f t="shared" si="80"/>
        <v>7.5577254155451484E-5</v>
      </c>
      <c r="W88" s="98" t="str">
        <f t="shared" si="70"/>
        <v>1-0.000214135553848154i</v>
      </c>
      <c r="X88" s="160">
        <f t="shared" si="81"/>
        <v>1.0000000229270174</v>
      </c>
      <c r="Y88" s="160">
        <f t="shared" si="82"/>
        <v>-2.1413555057516102E-4</v>
      </c>
      <c r="Z88" s="98" t="str">
        <f t="shared" si="71"/>
        <v>0.999998995245427-0.00146614592076617i</v>
      </c>
      <c r="AA88" s="160">
        <f t="shared" si="83"/>
        <v>1.0000000700378597</v>
      </c>
      <c r="AB88" s="160">
        <f t="shared" si="84"/>
        <v>-1.4661463433481208E-3</v>
      </c>
      <c r="AC88" s="171" t="str">
        <f t="shared" si="85"/>
        <v>0.0106633752706714-2.40117441092181i</v>
      </c>
      <c r="AD88" s="190">
        <f t="shared" si="86"/>
        <v>7.6085597784452297</v>
      </c>
      <c r="AE88" s="169">
        <f t="shared" si="87"/>
        <v>-89.745556849501583</v>
      </c>
      <c r="AF88" s="98" t="str">
        <f t="shared" si="72"/>
        <v>-0.0000119284294234592</v>
      </c>
      <c r="AG88" s="98" t="str">
        <f t="shared" si="73"/>
        <v>1.76416205848255E-06i</v>
      </c>
      <c r="AH88" s="98">
        <f t="shared" si="88"/>
        <v>1.76416205848255E-6</v>
      </c>
      <c r="AI88" s="98">
        <f t="shared" si="89"/>
        <v>1.5707963267948966</v>
      </c>
      <c r="AJ88" s="98" t="str">
        <f t="shared" si="74"/>
        <v>1+0.001523542760381i</v>
      </c>
      <c r="AK88" s="98">
        <f t="shared" si="90"/>
        <v>1.0000011605905978</v>
      </c>
      <c r="AL88" s="98">
        <f t="shared" si="91"/>
        <v>1.5235415815756889E-3</v>
      </c>
      <c r="AM88" s="98" t="str">
        <f t="shared" si="75"/>
        <v>1+3.87963238736656i</v>
      </c>
      <c r="AN88" s="98">
        <f t="shared" si="92"/>
        <v>4.0064382512530443</v>
      </c>
      <c r="AO88" s="98">
        <f t="shared" si="93"/>
        <v>1.3185309689339519</v>
      </c>
      <c r="AP88" s="168" t="str">
        <f t="shared" si="94"/>
        <v>-26.2218768677627+6.80147716917504i</v>
      </c>
      <c r="AQ88" s="98">
        <f t="shared" si="95"/>
        <v>28.656054747170899</v>
      </c>
      <c r="AR88" s="169">
        <f t="shared" si="96"/>
        <v>165.45896717467352</v>
      </c>
      <c r="AS88" s="168" t="str">
        <f t="shared" si="97"/>
        <v>16.0519192217497+63.0358264446642i</v>
      </c>
      <c r="AT88" s="190">
        <f t="shared" si="98"/>
        <v>36.264614525616132</v>
      </c>
      <c r="AU88" s="169">
        <f t="shared" si="99"/>
        <v>75.713410325171949</v>
      </c>
      <c r="AV88" s="225"/>
      <c r="AX88">
        <f t="shared" si="100"/>
        <v>0</v>
      </c>
      <c r="AY88">
        <f t="shared" si="101"/>
        <v>0</v>
      </c>
    </row>
    <row r="89" spans="14:51" x14ac:dyDescent="0.2">
      <c r="N89" s="170">
        <v>71</v>
      </c>
      <c r="O89" s="199">
        <f t="shared" si="76"/>
        <v>51.28613839913649</v>
      </c>
      <c r="P89" s="189" t="str">
        <f t="shared" si="67"/>
        <v>771.276595744681</v>
      </c>
      <c r="Q89" s="160" t="str">
        <f t="shared" si="68"/>
        <v>1+328.685117476462i</v>
      </c>
      <c r="R89" s="160">
        <f t="shared" si="77"/>
        <v>328.68663868571781</v>
      </c>
      <c r="S89" s="160">
        <f t="shared" si="78"/>
        <v>1.567753910630016</v>
      </c>
      <c r="T89" s="160" t="str">
        <f t="shared" si="69"/>
        <v>1+0.0000773376747003439i</v>
      </c>
      <c r="U89" s="160">
        <f t="shared" si="79"/>
        <v>1.0000000029905578</v>
      </c>
      <c r="V89" s="160">
        <f t="shared" si="80"/>
        <v>7.7337674546155364E-5</v>
      </c>
      <c r="W89" s="98" t="str">
        <f t="shared" si="70"/>
        <v>1-0.000219123411650974i</v>
      </c>
      <c r="X89" s="160">
        <f t="shared" si="81"/>
        <v>1.0000000240075344</v>
      </c>
      <c r="Y89" s="160">
        <f t="shared" si="82"/>
        <v>-2.191234081438988E-4</v>
      </c>
      <c r="Z89" s="98" t="str">
        <f t="shared" si="71"/>
        <v>0.999998947892803-0.00150029684638103i</v>
      </c>
      <c r="AA89" s="160">
        <f t="shared" si="83"/>
        <v>1.0000000733386674</v>
      </c>
      <c r="AB89" s="160">
        <f t="shared" si="84"/>
        <v>-1.5002972991857311E-3</v>
      </c>
      <c r="AC89" s="171" t="str">
        <f t="shared" si="85"/>
        <v>0.0103269224978651-2.34651792964122i</v>
      </c>
      <c r="AD89" s="190">
        <f t="shared" si="86"/>
        <v>7.4085616548708391</v>
      </c>
      <c r="AE89" s="169">
        <f t="shared" si="87"/>
        <v>-89.747845415102063</v>
      </c>
      <c r="AF89" s="98" t="str">
        <f t="shared" si="72"/>
        <v>-0.0000119284294234592</v>
      </c>
      <c r="AG89" s="98" t="str">
        <f t="shared" si="73"/>
        <v>1.80525467169278E-06i</v>
      </c>
      <c r="AH89" s="98">
        <f t="shared" si="88"/>
        <v>1.8052546716927801E-6</v>
      </c>
      <c r="AI89" s="98">
        <f t="shared" si="89"/>
        <v>1.5707963267948966</v>
      </c>
      <c r="AJ89" s="98" t="str">
        <f t="shared" si="74"/>
        <v>1+0.00155903063013795i</v>
      </c>
      <c r="AK89" s="98">
        <f t="shared" si="90"/>
        <v>1.0000012152875144</v>
      </c>
      <c r="AL89" s="98">
        <f t="shared" si="91"/>
        <v>1.5590293670253849E-3</v>
      </c>
      <c r="AM89" s="98" t="str">
        <f t="shared" si="75"/>
        <v>1+3.97000063461765i</v>
      </c>
      <c r="AN89" s="98">
        <f t="shared" si="92"/>
        <v>4.0940084317041352</v>
      </c>
      <c r="AO89" s="98">
        <f t="shared" si="93"/>
        <v>1.3240404522173923</v>
      </c>
      <c r="AP89" s="168" t="str">
        <f t="shared" si="94"/>
        <v>-26.2218739992548+6.64849657773038i</v>
      </c>
      <c r="AQ89" s="98">
        <f t="shared" si="95"/>
        <v>28.643859855072044</v>
      </c>
      <c r="AR89" s="169">
        <f t="shared" si="96"/>
        <v>165.77260401378203</v>
      </c>
      <c r="AS89" s="168" t="str">
        <f t="shared" si="97"/>
        <v>15.3300251642635+61.5987559969299i</v>
      </c>
      <c r="AT89" s="190">
        <f t="shared" si="98"/>
        <v>36.052421509942882</v>
      </c>
      <c r="AU89" s="169">
        <f t="shared" si="99"/>
        <v>76.024758598680037</v>
      </c>
      <c r="AV89" s="225"/>
      <c r="AX89">
        <f t="shared" si="100"/>
        <v>0</v>
      </c>
      <c r="AY89">
        <f t="shared" si="101"/>
        <v>0</v>
      </c>
    </row>
    <row r="90" spans="14:51" x14ac:dyDescent="0.2">
      <c r="N90" s="170">
        <v>72</v>
      </c>
      <c r="O90" s="199">
        <f t="shared" si="76"/>
        <v>52.480746024977286</v>
      </c>
      <c r="P90" s="189" t="str">
        <f t="shared" si="67"/>
        <v>771.276595744681</v>
      </c>
      <c r="Q90" s="160" t="str">
        <f t="shared" si="68"/>
        <v>1+336.34117738064i</v>
      </c>
      <c r="R90" s="160">
        <f t="shared" si="77"/>
        <v>336.34266396310045</v>
      </c>
      <c r="S90" s="160">
        <f t="shared" si="78"/>
        <v>1.5678231640640632</v>
      </c>
      <c r="T90" s="160" t="str">
        <f t="shared" si="69"/>
        <v>1+0.0000791391005601506i</v>
      </c>
      <c r="U90" s="160">
        <f t="shared" si="79"/>
        <v>1.0000000031314986</v>
      </c>
      <c r="V90" s="160">
        <f t="shared" si="80"/>
        <v>7.913910039493461E-5</v>
      </c>
      <c r="W90" s="98" t="str">
        <f t="shared" si="70"/>
        <v>1-0.000224227451587093i</v>
      </c>
      <c r="X90" s="160">
        <f t="shared" si="81"/>
        <v>1.0000000251389747</v>
      </c>
      <c r="Y90" s="160">
        <f t="shared" si="82"/>
        <v>-2.2422744782919424E-4</v>
      </c>
      <c r="Z90" s="98" t="str">
        <f t="shared" si="71"/>
        <v>0.999998898308519-0.00153524324924263i</v>
      </c>
      <c r="AA90" s="160">
        <f t="shared" si="83"/>
        <v>1.0000000767950401</v>
      </c>
      <c r="AB90" s="160">
        <f t="shared" si="84"/>
        <v>-1.535243734431589E-3</v>
      </c>
      <c r="AC90" s="171" t="str">
        <f t="shared" si="85"/>
        <v>0.010005612320024-2.29310551106105i</v>
      </c>
      <c r="AD90" s="190">
        <f t="shared" si="86"/>
        <v>7.2085634451750371</v>
      </c>
      <c r="AE90" s="169">
        <f t="shared" si="87"/>
        <v>-89.75000028717534</v>
      </c>
      <c r="AF90" s="98" t="str">
        <f t="shared" si="72"/>
        <v>-0.0000119284294234592</v>
      </c>
      <c r="AG90" s="98" t="str">
        <f t="shared" si="73"/>
        <v>1.84730445482531E-06i</v>
      </c>
      <c r="AH90" s="98">
        <f t="shared" si="88"/>
        <v>1.8473044548253101E-6</v>
      </c>
      <c r="AI90" s="98">
        <f t="shared" si="89"/>
        <v>1.5707963267948966</v>
      </c>
      <c r="AJ90" s="98" t="str">
        <f t="shared" si="74"/>
        <v>1+0.00159534511857122i</v>
      </c>
      <c r="AK90" s="98">
        <f t="shared" si="90"/>
        <v>1.0000012725622138</v>
      </c>
      <c r="AL90" s="98">
        <f t="shared" si="91"/>
        <v>1.595343765121815E-3</v>
      </c>
      <c r="AM90" s="98" t="str">
        <f t="shared" si="75"/>
        <v>1+4.0624738287544i</v>
      </c>
      <c r="AN90" s="98">
        <f t="shared" si="92"/>
        <v>4.1837415801306888</v>
      </c>
      <c r="AO90" s="98">
        <f t="shared" si="93"/>
        <v>1.3294393410444048</v>
      </c>
      <c r="AP90" s="168" t="str">
        <f t="shared" si="94"/>
        <v>-26.2218709955589+6.49904110675286i</v>
      </c>
      <c r="AQ90" s="98">
        <f t="shared" si="95"/>
        <v>28.63218172904994</v>
      </c>
      <c r="AR90" s="169">
        <f t="shared" si="96"/>
        <v>166.07985689588367</v>
      </c>
      <c r="AS90" s="168" t="str">
        <f t="shared" si="97"/>
        <v>14.64062110302+60.1945437760141i</v>
      </c>
      <c r="AT90" s="190">
        <f t="shared" si="98"/>
        <v>35.840745174224978</v>
      </c>
      <c r="AU90" s="169">
        <f t="shared" si="99"/>
        <v>76.329856608708383</v>
      </c>
      <c r="AV90" s="225"/>
      <c r="AX90">
        <f t="shared" si="100"/>
        <v>0</v>
      </c>
      <c r="AY90">
        <f t="shared" si="101"/>
        <v>0</v>
      </c>
    </row>
    <row r="91" spans="14:51" x14ac:dyDescent="0.2">
      <c r="N91" s="170">
        <v>73</v>
      </c>
      <c r="O91" s="199">
        <f t="shared" si="76"/>
        <v>53.703179637025293</v>
      </c>
      <c r="P91" s="189" t="str">
        <f t="shared" si="67"/>
        <v>771.276595744681</v>
      </c>
      <c r="Q91" s="160" t="str">
        <f t="shared" si="68"/>
        <v>1+344.175569829067i</v>
      </c>
      <c r="R91" s="160">
        <f t="shared" si="77"/>
        <v>344.17702257292393</v>
      </c>
      <c r="S91" s="160">
        <f t="shared" si="78"/>
        <v>1.5678908411250507</v>
      </c>
      <c r="T91" s="160" t="str">
        <f t="shared" si="69"/>
        <v>1+0.0000809824870186039i</v>
      </c>
      <c r="U91" s="160">
        <f t="shared" si="79"/>
        <v>1.0000000032790815</v>
      </c>
      <c r="V91" s="160">
        <f t="shared" si="80"/>
        <v>8.0982486841571781E-5</v>
      </c>
      <c r="W91" s="98" t="str">
        <f t="shared" si="70"/>
        <v>1-0.000229450379886044i</v>
      </c>
      <c r="X91" s="160">
        <f t="shared" si="81"/>
        <v>1.0000000263237381</v>
      </c>
      <c r="Y91" s="160">
        <f t="shared" si="82"/>
        <v>-2.2945037585938294E-4</v>
      </c>
      <c r="Z91" s="98" t="str">
        <f t="shared" si="71"/>
        <v>0.999998846387399-0.00157100365839632i</v>
      </c>
      <c r="AA91" s="160">
        <f t="shared" si="83"/>
        <v>1.0000000804143085</v>
      </c>
      <c r="AB91" s="160">
        <f t="shared" si="84"/>
        <v>-1.5710041782856354E-3</v>
      </c>
      <c r="AC91" s="171" t="str">
        <f t="shared" si="85"/>
        <v>0.0096987632322077-2.24090884136151i</v>
      </c>
      <c r="AD91" s="190">
        <f t="shared" si="86"/>
        <v>7.0085651531551285</v>
      </c>
      <c r="AE91" s="169">
        <f t="shared" si="87"/>
        <v>-89.752022608102834</v>
      </c>
      <c r="AF91" s="98" t="str">
        <f t="shared" si="72"/>
        <v>-0.0000119284294234592</v>
      </c>
      <c r="AG91" s="98" t="str">
        <f t="shared" si="73"/>
        <v>1.89033370323176E-06i</v>
      </c>
      <c r="AH91" s="98">
        <f t="shared" si="88"/>
        <v>1.89033370323176E-6</v>
      </c>
      <c r="AI91" s="98">
        <f t="shared" si="89"/>
        <v>1.5707963267948966</v>
      </c>
      <c r="AJ91" s="98" t="str">
        <f t="shared" si="74"/>
        <v>1+0.00163250548010323i</v>
      </c>
      <c r="AK91" s="98">
        <f t="shared" si="90"/>
        <v>1.0000013325361834</v>
      </c>
      <c r="AL91" s="98">
        <f t="shared" si="91"/>
        <v>1.6325040298561682E-3</v>
      </c>
      <c r="AM91" s="98" t="str">
        <f t="shared" si="75"/>
        <v>1+4.15710100028833i</v>
      </c>
      <c r="AN91" s="98">
        <f t="shared" si="92"/>
        <v>4.2756857609742838</v>
      </c>
      <c r="AO91" s="98">
        <f t="shared" si="93"/>
        <v>1.3347292385031486</v>
      </c>
      <c r="AP91" s="168" t="str">
        <f t="shared" si="94"/>
        <v>-26.2218678503036+6.35303151294329i</v>
      </c>
      <c r="AQ91" s="98">
        <f t="shared" si="95"/>
        <v>28.620999771137519</v>
      </c>
      <c r="AR91" s="169">
        <f t="shared" si="96"/>
        <v>166.38081656799179</v>
      </c>
      <c r="AS91" s="168" t="str">
        <f t="shared" si="97"/>
        <v>13.9822447990166+58.8224320512093i</v>
      </c>
      <c r="AT91" s="190">
        <f t="shared" si="98"/>
        <v>35.629564924292659</v>
      </c>
      <c r="AU91" s="169">
        <f t="shared" si="99"/>
        <v>76.62879395988891</v>
      </c>
      <c r="AV91" s="225"/>
      <c r="AX91">
        <f t="shared" si="100"/>
        <v>0</v>
      </c>
      <c r="AY91">
        <f t="shared" si="101"/>
        <v>0</v>
      </c>
    </row>
    <row r="92" spans="14:51" x14ac:dyDescent="0.2">
      <c r="N92" s="170">
        <v>74</v>
      </c>
      <c r="O92" s="199">
        <f t="shared" si="76"/>
        <v>54.95408738576247</v>
      </c>
      <c r="P92" s="189" t="str">
        <f t="shared" si="67"/>
        <v>771.276595744681</v>
      </c>
      <c r="Q92" s="160" t="str">
        <f t="shared" si="68"/>
        <v>1+352.19244872032i</v>
      </c>
      <c r="R92" s="160">
        <f t="shared" si="77"/>
        <v>352.19386839582432</v>
      </c>
      <c r="S92" s="160">
        <f t="shared" si="78"/>
        <v>1.5679569776937705</v>
      </c>
      <c r="T92" s="160" t="str">
        <f t="shared" si="69"/>
        <v>1+0.0000828688114636046i</v>
      </c>
      <c r="U92" s="160">
        <f t="shared" si="79"/>
        <v>1.0000000034336198</v>
      </c>
      <c r="V92" s="160">
        <f t="shared" si="80"/>
        <v>8.2868811273911257E-5</v>
      </c>
      <c r="W92" s="98" t="str">
        <f t="shared" si="70"/>
        <v>1-0.000234794965813546i</v>
      </c>
      <c r="X92" s="160">
        <f t="shared" si="81"/>
        <v>1.0000000275643377</v>
      </c>
      <c r="Y92" s="160">
        <f t="shared" si="82"/>
        <v>-2.3479496149890095E-4</v>
      </c>
      <c r="Z92" s="98" t="str">
        <f t="shared" si="71"/>
        <v>0.999998792019312-0.00160759703448438i</v>
      </c>
      <c r="AA92" s="160">
        <f t="shared" si="83"/>
        <v>1.0000000842041508</v>
      </c>
      <c r="AB92" s="160">
        <f t="shared" si="84"/>
        <v>-1.6075975915557947E-3</v>
      </c>
      <c r="AC92" s="171" t="str">
        <f t="shared" si="85"/>
        <v>0.00940572440012817-2.18990025091839i</v>
      </c>
      <c r="AD92" s="190">
        <f t="shared" si="86"/>
        <v>6.8085667824338287</v>
      </c>
      <c r="AE92" s="169">
        <f t="shared" si="87"/>
        <v>-89.753913449995238</v>
      </c>
      <c r="AF92" s="98" t="str">
        <f t="shared" si="72"/>
        <v>-0.0000119284294234592</v>
      </c>
      <c r="AG92" s="98" t="str">
        <f t="shared" si="73"/>
        <v>1.93436523158919E-06i</v>
      </c>
      <c r="AH92" s="98">
        <f t="shared" si="88"/>
        <v>1.93436523158919E-6</v>
      </c>
      <c r="AI92" s="98">
        <f t="shared" si="89"/>
        <v>1.5707963267948966</v>
      </c>
      <c r="AJ92" s="98" t="str">
        <f t="shared" si="74"/>
        <v>1+0.00167053141764957i</v>
      </c>
      <c r="AK92" s="98">
        <f t="shared" si="90"/>
        <v>1.0000013953366351</v>
      </c>
      <c r="AL92" s="98">
        <f t="shared" si="91"/>
        <v>1.670529863681963E-3</v>
      </c>
      <c r="AM92" s="98" t="str">
        <f t="shared" si="75"/>
        <v>1+4.25393232179837i</v>
      </c>
      <c r="AN92" s="98">
        <f t="shared" si="92"/>
        <v>4.3698901815080973</v>
      </c>
      <c r="AO92" s="98">
        <f t="shared" si="93"/>
        <v>1.3399117646345176</v>
      </c>
      <c r="AP92" s="168" t="str">
        <f t="shared" si="94"/>
        <v>-26.2218645568181+6.21039038005009i</v>
      </c>
      <c r="AQ92" s="98">
        <f t="shared" si="95"/>
        <v>28.610294095330634</v>
      </c>
      <c r="AR92" s="169">
        <f t="shared" si="96"/>
        <v>166.67557472274484</v>
      </c>
      <c r="AS92" s="168" t="str">
        <f t="shared" si="97"/>
        <v>13.3534998202939+57.4816809928559i</v>
      </c>
      <c r="AT92" s="190">
        <f t="shared" si="98"/>
        <v>35.418860877764459</v>
      </c>
      <c r="AU92" s="169">
        <f t="shared" si="99"/>
        <v>76.921661272749645</v>
      </c>
      <c r="AV92" s="225"/>
      <c r="AX92">
        <f t="shared" si="100"/>
        <v>0</v>
      </c>
      <c r="AY92">
        <f t="shared" si="101"/>
        <v>0</v>
      </c>
    </row>
    <row r="93" spans="14:51" x14ac:dyDescent="0.2">
      <c r="N93" s="170">
        <v>75</v>
      </c>
      <c r="O93" s="199">
        <f t="shared" si="76"/>
        <v>56.234132519034915</v>
      </c>
      <c r="P93" s="189" t="str">
        <f t="shared" si="67"/>
        <v>771.276595744681</v>
      </c>
      <c r="Q93" s="160" t="str">
        <f t="shared" si="68"/>
        <v>1+360.396064709702i</v>
      </c>
      <c r="R93" s="160">
        <f t="shared" si="77"/>
        <v>360.39745206957235</v>
      </c>
      <c r="S93" s="160">
        <f t="shared" si="78"/>
        <v>1.5680216088343915</v>
      </c>
      <c r="T93" s="160" t="str">
        <f t="shared" si="69"/>
        <v>1+0.0000847990740493415i</v>
      </c>
      <c r="U93" s="160">
        <f t="shared" si="79"/>
        <v>1.0000000035954415</v>
      </c>
      <c r="V93" s="160">
        <f t="shared" si="80"/>
        <v>8.479907384608143E-5</v>
      </c>
      <c r="W93" s="98" t="str">
        <f t="shared" si="70"/>
        <v>1-0.000240264043139801i</v>
      </c>
      <c r="X93" s="160">
        <f t="shared" si="81"/>
        <v>1.0000000288634048</v>
      </c>
      <c r="Y93" s="160">
        <f t="shared" si="82"/>
        <v>-2.4026403851657552E-4</v>
      </c>
      <c r="Z93" s="98" t="str">
        <f t="shared" si="71"/>
        <v>0.999998735088936-0.00164504277979919i</v>
      </c>
      <c r="AA93" s="160">
        <f t="shared" si="83"/>
        <v>1.0000000881726057</v>
      </c>
      <c r="AB93" s="160">
        <f t="shared" si="84"/>
        <v>-1.6450433767119389E-3</v>
      </c>
      <c r="AC93" s="171" t="str">
        <f t="shared" si="85"/>
        <v>0.00912587427993066-2.14005269965969i</v>
      </c>
      <c r="AD93" s="190">
        <f t="shared" si="86"/>
        <v>6.6085683364670809</v>
      </c>
      <c r="AE93" s="169">
        <f t="shared" si="87"/>
        <v>-89.755673815260138</v>
      </c>
      <c r="AF93" s="98" t="str">
        <f t="shared" si="72"/>
        <v>-0.0000119284294234592</v>
      </c>
      <c r="AG93" s="98" t="str">
        <f t="shared" si="73"/>
        <v>1.97942238599676E-06i</v>
      </c>
      <c r="AH93" s="98">
        <f t="shared" si="88"/>
        <v>1.9794223859967598E-6</v>
      </c>
      <c r="AI93" s="98">
        <f t="shared" si="89"/>
        <v>1.5707963267948966</v>
      </c>
      <c r="AJ93" s="98" t="str">
        <f t="shared" si="74"/>
        <v>1+0.00170944309306563i</v>
      </c>
      <c r="AK93" s="98">
        <f t="shared" si="90"/>
        <v>1.0000014610967769</v>
      </c>
      <c r="AL93" s="98">
        <f t="shared" si="91"/>
        <v>1.7094414279594707E-3</v>
      </c>
      <c r="AM93" s="98" t="str">
        <f t="shared" si="75"/>
        <v>1+4.35301913453287i</v>
      </c>
      <c r="AN93" s="98">
        <f t="shared" si="92"/>
        <v>4.4664052195931907</v>
      </c>
      <c r="AO93" s="98">
        <f t="shared" si="93"/>
        <v>1.3449885532301602</v>
      </c>
      <c r="AP93" s="168" t="str">
        <f t="shared" si="94"/>
        <v>-26.2218611081162+6.0710420778219i</v>
      </c>
      <c r="AQ93" s="98">
        <f t="shared" si="95"/>
        <v>28.600045512145662</v>
      </c>
      <c r="AR93" s="169">
        <f t="shared" si="96"/>
        <v>166.964223814348</v>
      </c>
      <c r="AS93" s="168" t="str">
        <f t="shared" si="97"/>
        <v>12.7530525805319+56.1715682212759i</v>
      </c>
      <c r="AT93" s="190">
        <f t="shared" si="98"/>
        <v>35.20861384861275</v>
      </c>
      <c r="AU93" s="169">
        <f t="shared" si="99"/>
        <v>77.208549999087836</v>
      </c>
      <c r="AV93" s="225"/>
      <c r="AX93">
        <f t="shared" si="100"/>
        <v>0</v>
      </c>
      <c r="AY93">
        <f t="shared" si="101"/>
        <v>0</v>
      </c>
    </row>
    <row r="94" spans="14:51" x14ac:dyDescent="0.2">
      <c r="N94" s="170">
        <v>76</v>
      </c>
      <c r="O94" s="199">
        <f t="shared" si="76"/>
        <v>57.543993733715695</v>
      </c>
      <c r="P94" s="189" t="str">
        <f t="shared" si="67"/>
        <v>771.276595744681</v>
      </c>
      <c r="Q94" s="160" t="str">
        <f t="shared" si="68"/>
        <v>1+368.790767462999i</v>
      </c>
      <c r="R94" s="160">
        <f t="shared" si="77"/>
        <v>368.79212324282059</v>
      </c>
      <c r="S94" s="160">
        <f t="shared" si="78"/>
        <v>1.5680847688130384</v>
      </c>
      <c r="T94" s="160" t="str">
        <f t="shared" si="69"/>
        <v>1+0.000086774298226588i</v>
      </c>
      <c r="U94" s="160">
        <f t="shared" si="79"/>
        <v>1.0000000037648893</v>
      </c>
      <c r="V94" s="160">
        <f t="shared" si="80"/>
        <v>8.6774298008790909E-5</v>
      </c>
      <c r="W94" s="98" t="str">
        <f t="shared" si="70"/>
        <v>1-0.000245860511641999i</v>
      </c>
      <c r="X94" s="160">
        <f t="shared" si="81"/>
        <v>1.0000000302236951</v>
      </c>
      <c r="Y94" s="160">
        <f t="shared" si="82"/>
        <v>-2.4586050668812368E-4</v>
      </c>
      <c r="Z94" s="98" t="str">
        <f t="shared" si="71"/>
        <v>0.999998675475514-0.00168336074857056i</v>
      </c>
      <c r="AA94" s="160">
        <f t="shared" si="83"/>
        <v>1.0000000923280918</v>
      </c>
      <c r="AB94" s="160">
        <f t="shared" si="84"/>
        <v>-1.6833613881740643E-3</v>
      </c>
      <c r="AC94" s="171" t="str">
        <f t="shared" si="85"/>
        <v>0.00885861930007676-2.09133976275412i</v>
      </c>
      <c r="AD94" s="190">
        <f t="shared" si="86"/>
        <v>6.4085698185510962</v>
      </c>
      <c r="AE94" s="169">
        <f t="shared" si="87"/>
        <v>-89.757304637132933</v>
      </c>
      <c r="AF94" s="98" t="str">
        <f t="shared" si="72"/>
        <v>-0.0000119284294234592</v>
      </c>
      <c r="AG94" s="98" t="str">
        <f t="shared" si="73"/>
        <v>2.02552905635413E-06i</v>
      </c>
      <c r="AH94" s="98">
        <f t="shared" si="88"/>
        <v>2.0255290563541299E-6</v>
      </c>
      <c r="AI94" s="98">
        <f t="shared" si="89"/>
        <v>1.5707963267948966</v>
      </c>
      <c r="AJ94" s="98" t="str">
        <f t="shared" si="74"/>
        <v>1+0.0017492611378368i</v>
      </c>
      <c r="AK94" s="98">
        <f t="shared" si="90"/>
        <v>1.0000015299560938</v>
      </c>
      <c r="AL94" s="98">
        <f t="shared" si="91"/>
        <v>1.7492593536435523E-3</v>
      </c>
      <c r="AM94" s="98" t="str">
        <f t="shared" si="75"/>
        <v>1+4.45441397563152i</v>
      </c>
      <c r="AN94" s="98">
        <f t="shared" si="92"/>
        <v>4.565282451973963</v>
      </c>
      <c r="AO94" s="98">
        <f t="shared" si="93"/>
        <v>1.3499612488198571</v>
      </c>
      <c r="AP94" s="168" t="str">
        <f t="shared" si="94"/>
        <v>-26.2218574968829+5.93491272190732i</v>
      </c>
      <c r="AQ94" s="98">
        <f t="shared" si="95"/>
        <v>28.590235512682575</v>
      </c>
      <c r="AR94" s="169">
        <f t="shared" si="96"/>
        <v>167.24685688535021</v>
      </c>
      <c r="AS94" s="168" t="str">
        <f t="shared" si="97"/>
        <v>12.1796295108943+54.891388368886i</v>
      </c>
      <c r="AT94" s="190">
        <f t="shared" si="98"/>
        <v>34.998805331233669</v>
      </c>
      <c r="AU94" s="169">
        <f t="shared" si="99"/>
        <v>77.489552248217322</v>
      </c>
      <c r="AV94" s="225"/>
      <c r="AX94">
        <f t="shared" si="100"/>
        <v>0</v>
      </c>
      <c r="AY94">
        <f t="shared" si="101"/>
        <v>0</v>
      </c>
    </row>
    <row r="95" spans="14:51" x14ac:dyDescent="0.2">
      <c r="N95" s="170">
        <v>77</v>
      </c>
      <c r="O95" s="199">
        <f t="shared" si="76"/>
        <v>58.884365535558949</v>
      </c>
      <c r="P95" s="189" t="str">
        <f t="shared" si="67"/>
        <v>771.276595744681</v>
      </c>
      <c r="Q95" s="160" t="str">
        <f t="shared" si="68"/>
        <v>1+377.381007962728i</v>
      </c>
      <c r="R95" s="160">
        <f t="shared" si="77"/>
        <v>377.38233288134273</v>
      </c>
      <c r="S95" s="160">
        <f t="shared" si="78"/>
        <v>1.5681464911159517</v>
      </c>
      <c r="T95" s="160" t="str">
        <f t="shared" si="69"/>
        <v>1+0.0000887955312853478i</v>
      </c>
      <c r="U95" s="160">
        <f t="shared" si="79"/>
        <v>1.0000000039423231</v>
      </c>
      <c r="V95" s="160">
        <f t="shared" si="80"/>
        <v>8.8795531051974008E-5</v>
      </c>
      <c r="W95" s="98" t="str">
        <f t="shared" si="70"/>
        <v>1-0.000251587338641818i</v>
      </c>
      <c r="X95" s="160">
        <f t="shared" si="81"/>
        <v>1.0000000316480939</v>
      </c>
      <c r="Y95" s="160">
        <f t="shared" si="82"/>
        <v>-2.5158733333364492E-4</v>
      </c>
      <c r="Z95" s="98" t="str">
        <f t="shared" si="71"/>
        <v>0.999998613052598-0.00172257125749274i</v>
      </c>
      <c r="AA95" s="160">
        <f t="shared" si="83"/>
        <v>1.0000000966794236</v>
      </c>
      <c r="AB95" s="160">
        <f t="shared" si="84"/>
        <v>-1.7225719428402095E-3</v>
      </c>
      <c r="AC95" s="171" t="str">
        <f t="shared" si="85"/>
        <v>0.00860339260253795-2.04373561662418i</v>
      </c>
      <c r="AD95" s="190">
        <f t="shared" si="86"/>
        <v>6.2085712318293771</v>
      </c>
      <c r="AE95" s="169">
        <f t="shared" si="87"/>
        <v>-89.758806780170943</v>
      </c>
      <c r="AF95" s="98" t="str">
        <f t="shared" si="72"/>
        <v>-0.0000119284294234592</v>
      </c>
      <c r="AG95" s="98" t="str">
        <f t="shared" si="73"/>
        <v>2.07270968902823E-06i</v>
      </c>
      <c r="AH95" s="98">
        <f t="shared" si="88"/>
        <v>2.0727096890282299E-6</v>
      </c>
      <c r="AI95" s="98">
        <f t="shared" si="89"/>
        <v>1.5707963267948966</v>
      </c>
      <c r="AJ95" s="98" t="str">
        <f t="shared" si="74"/>
        <v>1+0.00179000666401746i</v>
      </c>
      <c r="AK95" s="98">
        <f t="shared" si="90"/>
        <v>1.0000016020606453</v>
      </c>
      <c r="AL95" s="98">
        <f t="shared" si="91"/>
        <v>1.7900047522201165E-3</v>
      </c>
      <c r="AM95" s="98" t="str">
        <f t="shared" si="75"/>
        <v>1+4.55817060598119i</v>
      </c>
      <c r="AN95" s="98">
        <f t="shared" si="92"/>
        <v>4.6665746831301149</v>
      </c>
      <c r="AO95" s="98">
        <f t="shared" si="93"/>
        <v>1.3548315038425562</v>
      </c>
      <c r="AP95" s="168" t="str">
        <f t="shared" si="94"/>
        <v>-26.2218537154587+5.80193013468017i</v>
      </c>
      <c r="AQ95" s="98">
        <f t="shared" si="95"/>
        <v>28.580846252288218</v>
      </c>
      <c r="AR95" s="169">
        <f t="shared" si="96"/>
        <v>167.52356740393029</v>
      </c>
      <c r="AS95" s="168" t="str">
        <f t="shared" si="97"/>
        <v>11.6320143591306+53.6404526549932i</v>
      </c>
      <c r="AT95" s="190">
        <f t="shared" si="98"/>
        <v>34.789417484117607</v>
      </c>
      <c r="AU95" s="169">
        <f t="shared" si="99"/>
        <v>77.764760623759344</v>
      </c>
      <c r="AV95" s="225"/>
      <c r="AX95">
        <f t="shared" si="100"/>
        <v>0</v>
      </c>
      <c r="AY95">
        <f t="shared" si="101"/>
        <v>0</v>
      </c>
    </row>
    <row r="96" spans="14:51" x14ac:dyDescent="0.2">
      <c r="N96" s="170">
        <v>78</v>
      </c>
      <c r="O96" s="199">
        <f t="shared" si="76"/>
        <v>60.255958607435822</v>
      </c>
      <c r="P96" s="189" t="str">
        <f t="shared" si="67"/>
        <v>771.276595744681</v>
      </c>
      <c r="Q96" s="160" t="str">
        <f t="shared" si="68"/>
        <v>1+386.171340868107i</v>
      </c>
      <c r="R96" s="160">
        <f t="shared" si="77"/>
        <v>386.1726356279944</v>
      </c>
      <c r="S96" s="160">
        <f t="shared" si="78"/>
        <v>1.5682068084672307</v>
      </c>
      <c r="T96" s="160" t="str">
        <f t="shared" si="69"/>
        <v>1+0.0000908638449101428i</v>
      </c>
      <c r="U96" s="160">
        <f t="shared" si="79"/>
        <v>1.0000000041281192</v>
      </c>
      <c r="V96" s="160">
        <f t="shared" si="80"/>
        <v>9.0863844660078277E-5</v>
      </c>
      <c r="W96" s="98" t="str">
        <f t="shared" si="70"/>
        <v>1-0.000257447560578738i</v>
      </c>
      <c r="X96" s="160">
        <f t="shared" si="81"/>
        <v>1.0000000331396228</v>
      </c>
      <c r="Y96" s="160">
        <f t="shared" si="82"/>
        <v>-2.5744755489092813E-4</v>
      </c>
      <c r="Z96" s="98" t="str">
        <f t="shared" si="71"/>
        <v>0.999998547687781-0.00176269509649657i</v>
      </c>
      <c r="AA96" s="160">
        <f t="shared" si="83"/>
        <v>1.0000001012358319</v>
      </c>
      <c r="AB96" s="160">
        <f t="shared" si="84"/>
        <v>-1.7626958308595763E-3</v>
      </c>
      <c r="AC96" s="171" t="str">
        <f t="shared" si="85"/>
        <v>0.00835965284063154-1.99721502527652i</v>
      </c>
      <c r="AD96" s="190">
        <f t="shared" si="86"/>
        <v>6.0085725792997557</v>
      </c>
      <c r="AE96" s="169">
        <f t="shared" si="87"/>
        <v>-89.760181040711274</v>
      </c>
      <c r="AF96" s="98" t="str">
        <f t="shared" si="72"/>
        <v>-0.0000119284294234592</v>
      </c>
      <c r="AG96" s="98" t="str">
        <f t="shared" si="73"/>
        <v>2.12098929981501E-06i</v>
      </c>
      <c r="AH96" s="98">
        <f t="shared" si="88"/>
        <v>2.12098929981501E-6</v>
      </c>
      <c r="AI96" s="98">
        <f t="shared" si="89"/>
        <v>1.5707963267948966</v>
      </c>
      <c r="AJ96" s="98" t="str">
        <f t="shared" si="74"/>
        <v>1+0.00183170127542491i</v>
      </c>
      <c r="AK96" s="98">
        <f t="shared" si="90"/>
        <v>1.000001677563374</v>
      </c>
      <c r="AL96" s="98">
        <f t="shared" si="91"/>
        <v>1.8316992268973343E-3</v>
      </c>
      <c r="AM96" s="98" t="str">
        <f t="shared" si="75"/>
        <v>1+4.66434403872067i</v>
      </c>
      <c r="AN96" s="98">
        <f t="shared" si="92"/>
        <v>4.7703359747033591</v>
      </c>
      <c r="AO96" s="98">
        <f t="shared" si="93"/>
        <v>1.3596009759951051</v>
      </c>
      <c r="AP96" s="168" t="str">
        <f t="shared" si="94"/>
        <v>-26.2218497558224+5.67202380696986i</v>
      </c>
      <c r="AQ96" s="98">
        <f t="shared" si="95"/>
        <v>28.571860533909049</v>
      </c>
      <c r="AR96" s="169">
        <f t="shared" si="96"/>
        <v>167.79444911134851</v>
      </c>
      <c r="AS96" s="168" t="str">
        <f t="shared" si="97"/>
        <v>11.1090456102085+52.418088472802i</v>
      </c>
      <c r="AT96" s="190">
        <f t="shared" si="98"/>
        <v>34.580433113208805</v>
      </c>
      <c r="AU96" s="169">
        <f t="shared" si="99"/>
        <v>78.034268070637182</v>
      </c>
      <c r="AV96" s="225"/>
      <c r="AX96">
        <f t="shared" si="100"/>
        <v>0</v>
      </c>
      <c r="AY96">
        <f t="shared" si="101"/>
        <v>0</v>
      </c>
    </row>
    <row r="97" spans="14:51" x14ac:dyDescent="0.2">
      <c r="N97" s="170">
        <v>79</v>
      </c>
      <c r="O97" s="199">
        <f t="shared" si="76"/>
        <v>61.659500186148257</v>
      </c>
      <c r="P97" s="189" t="str">
        <f t="shared" si="67"/>
        <v>771.276595744681</v>
      </c>
      <c r="Q97" s="160" t="str">
        <f t="shared" si="68"/>
        <v>1+395.166426929997i</v>
      </c>
      <c r="R97" s="160">
        <f t="shared" si="77"/>
        <v>395.16769221764656</v>
      </c>
      <c r="S97" s="160">
        <f t="shared" si="78"/>
        <v>1.5682657528461772</v>
      </c>
      <c r="T97" s="160" t="str">
        <f t="shared" si="69"/>
        <v>1+0.0000929803357482345i</v>
      </c>
      <c r="U97" s="160">
        <f t="shared" si="79"/>
        <v>1.0000000043226713</v>
      </c>
      <c r="V97" s="160">
        <f t="shared" si="80"/>
        <v>9.2980335480285554E-5</v>
      </c>
      <c r="W97" s="98" t="str">
        <f t="shared" si="70"/>
        <v>1-0.000263444284619998i</v>
      </c>
      <c r="X97" s="160">
        <f t="shared" si="81"/>
        <v>1.0000000347014448</v>
      </c>
      <c r="Y97" s="160">
        <f t="shared" si="82"/>
        <v>-2.6344427852539989E-4</v>
      </c>
      <c r="Z97" s="98" t="str">
        <f t="shared" si="71"/>
        <v>0.999998479242415-0.00180375353977258i</v>
      </c>
      <c r="AA97" s="160">
        <f t="shared" si="83"/>
        <v>1.0000001060069816</v>
      </c>
      <c r="AB97" s="160">
        <f t="shared" si="84"/>
        <v>-1.803754326656676E-3</v>
      </c>
      <c r="AC97" s="171" t="str">
        <f t="shared" si="85"/>
        <v>0.00812688303094959-1.95175332694214i</v>
      </c>
      <c r="AD97" s="190">
        <f t="shared" si="86"/>
        <v>5.8085738638201887</v>
      </c>
      <c r="AE97" s="169">
        <f t="shared" si="87"/>
        <v>-89.761428147292378</v>
      </c>
      <c r="AF97" s="98" t="str">
        <f t="shared" si="72"/>
        <v>-0.0000119284294234592</v>
      </c>
      <c r="AG97" s="98" t="str">
        <f t="shared" si="73"/>
        <v>2.17039348720316E-06i</v>
      </c>
      <c r="AH97" s="98">
        <f t="shared" si="88"/>
        <v>2.1703934872031602E-6</v>
      </c>
      <c r="AI97" s="98">
        <f t="shared" si="89"/>
        <v>1.5707963267948966</v>
      </c>
      <c r="AJ97" s="98" t="str">
        <f t="shared" si="74"/>
        <v>1+0.00187436707909404i</v>
      </c>
      <c r="AK97" s="98">
        <f t="shared" si="90"/>
        <v>1.0000017566244308</v>
      </c>
      <c r="AL97" s="98">
        <f t="shared" si="91"/>
        <v>1.8743648840574036E-3</v>
      </c>
      <c r="AM97" s="98" t="str">
        <f t="shared" si="75"/>
        <v>1+4.77299056840937i</v>
      </c>
      <c r="AN97" s="98">
        <f t="shared" si="92"/>
        <v>4.8766216755172636</v>
      </c>
      <c r="AO97" s="98">
        <f t="shared" si="93"/>
        <v>1.3642713257524715</v>
      </c>
      <c r="AP97" s="168" t="str">
        <f t="shared" si="94"/>
        <v>-26.2218456095756+5.54512486067632i</v>
      </c>
      <c r="AQ97" s="98">
        <f t="shared" si="95"/>
        <v>28.563261791215638</v>
      </c>
      <c r="AR97" s="169">
        <f t="shared" si="96"/>
        <v>168.05959587921012</v>
      </c>
      <c r="AS97" s="168" t="str">
        <f t="shared" si="97"/>
        <v>10.6096140230099+51.223638988187i</v>
      </c>
      <c r="AT97" s="190">
        <f t="shared" si="98"/>
        <v>34.371835655035817</v>
      </c>
      <c r="AU97" s="169">
        <f t="shared" si="99"/>
        <v>78.298167731917772</v>
      </c>
      <c r="AV97" s="225"/>
      <c r="AX97">
        <f t="shared" si="100"/>
        <v>0</v>
      </c>
      <c r="AY97">
        <f t="shared" si="101"/>
        <v>0</v>
      </c>
    </row>
    <row r="98" spans="14:51" x14ac:dyDescent="0.2">
      <c r="N98" s="170">
        <v>80</v>
      </c>
      <c r="O98" s="199">
        <f t="shared" si="76"/>
        <v>63.095734448019364</v>
      </c>
      <c r="P98" s="189" t="str">
        <f t="shared" si="67"/>
        <v>771.276595744681</v>
      </c>
      <c r="Q98" s="160" t="str">
        <f t="shared" si="68"/>
        <v>1+404.37103546209i</v>
      </c>
      <c r="R98" s="160">
        <f t="shared" si="77"/>
        <v>404.37227194836544</v>
      </c>
      <c r="S98" s="160">
        <f t="shared" si="78"/>
        <v>1.5683233555042417</v>
      </c>
      <c r="T98" s="160" t="str">
        <f t="shared" si="69"/>
        <v>1+0.0000951461259910799i</v>
      </c>
      <c r="U98" s="160">
        <f t="shared" si="79"/>
        <v>1.0000000045263926</v>
      </c>
      <c r="V98" s="160">
        <f t="shared" si="80"/>
        <v>9.5146125703967418E-5</v>
      </c>
      <c r="W98" s="98" t="str">
        <f t="shared" si="70"/>
        <v>1-0.00026958069030806i</v>
      </c>
      <c r="X98" s="160">
        <f t="shared" si="81"/>
        <v>1.0000000363368737</v>
      </c>
      <c r="Y98" s="160">
        <f t="shared" si="82"/>
        <v>-2.6958068377758051E-4</v>
      </c>
      <c r="Z98" s="98" t="str">
        <f t="shared" si="71"/>
        <v>0.999998407571318-0.00184576835705089i</v>
      </c>
      <c r="AA98" s="160">
        <f t="shared" si="83"/>
        <v>1.0000001110029937</v>
      </c>
      <c r="AB98" s="160">
        <f t="shared" si="84"/>
        <v>-1.8457692002123427E-3</v>
      </c>
      <c r="AC98" s="171" t="str">
        <f t="shared" si="85"/>
        <v>0.00790458945694929-1.90732642101992i</v>
      </c>
      <c r="AD98" s="190">
        <f t="shared" si="86"/>
        <v>5.6085750881153809</v>
      </c>
      <c r="AE98" s="169">
        <f t="shared" si="87"/>
        <v>-89.762548761039895</v>
      </c>
      <c r="AF98" s="98" t="str">
        <f t="shared" si="72"/>
        <v>-0.0000119284294234592</v>
      </c>
      <c r="AG98" s="98" t="str">
        <f t="shared" si="73"/>
        <v>2.22094844594679E-06i</v>
      </c>
      <c r="AH98" s="98">
        <f t="shared" si="88"/>
        <v>2.2209484459467902E-6</v>
      </c>
      <c r="AI98" s="98">
        <f t="shared" si="89"/>
        <v>1.5707963267948966</v>
      </c>
      <c r="AJ98" s="98" t="str">
        <f t="shared" si="74"/>
        <v>1+0.00191802669699867i</v>
      </c>
      <c r="AK98" s="98">
        <f t="shared" si="90"/>
        <v>1.0000018394115135</v>
      </c>
      <c r="AL98" s="98">
        <f t="shared" si="91"/>
        <v>1.918024344974772E-3</v>
      </c>
      <c r="AM98" s="98" t="str">
        <f t="shared" si="75"/>
        <v>1+4.88416780087544i</v>
      </c>
      <c r="AN98" s="98">
        <f t="shared" si="92"/>
        <v>4.9854884522089149</v>
      </c>
      <c r="AO98" s="98">
        <f t="shared" si="93"/>
        <v>1.3688442140530859</v>
      </c>
      <c r="AP98" s="168" t="str">
        <f t="shared" si="94"/>
        <v>-26.2218412679234+5.42116601224957i</v>
      </c>
      <c r="AQ98" s="98">
        <f t="shared" si="95"/>
        <v>28.555034071572088</v>
      </c>
      <c r="AR98" s="169">
        <f t="shared" si="96"/>
        <v>168.31910157617367</v>
      </c>
      <c r="AS98" s="168" t="str">
        <f t="shared" si="97"/>
        <v>10.1326602778706+50.0564627498056i</v>
      </c>
      <c r="AT98" s="190">
        <f t="shared" si="98"/>
        <v>34.163609159687468</v>
      </c>
      <c r="AU98" s="169">
        <f t="shared" si="99"/>
        <v>78.556552815133756</v>
      </c>
      <c r="AV98" s="225"/>
      <c r="AX98">
        <f t="shared" si="100"/>
        <v>0</v>
      </c>
      <c r="AY98">
        <f t="shared" si="101"/>
        <v>0</v>
      </c>
    </row>
    <row r="99" spans="14:51" x14ac:dyDescent="0.2">
      <c r="N99" s="170">
        <v>81</v>
      </c>
      <c r="O99" s="199">
        <f t="shared" si="76"/>
        <v>64.565422903465588</v>
      </c>
      <c r="P99" s="189" t="str">
        <f t="shared" si="67"/>
        <v>771.276595744681</v>
      </c>
      <c r="Q99" s="160" t="str">
        <f t="shared" si="68"/>
        <v>1+413.790046869669i</v>
      </c>
      <c r="R99" s="160">
        <f t="shared" si="77"/>
        <v>413.7912552101638</v>
      </c>
      <c r="S99" s="160">
        <f t="shared" si="78"/>
        <v>1.5683796469815861</v>
      </c>
      <c r="T99" s="160" t="str">
        <f t="shared" si="69"/>
        <v>1+0.0000973623639693338i</v>
      </c>
      <c r="U99" s="160">
        <f t="shared" si="79"/>
        <v>1.0000000047397148</v>
      </c>
      <c r="V99" s="160">
        <f t="shared" si="80"/>
        <v>9.7362363661687238E-5</v>
      </c>
      <c r="W99" s="98" t="str">
        <f t="shared" si="70"/>
        <v>1-0.000275860031246445i</v>
      </c>
      <c r="X99" s="160">
        <f t="shared" si="81"/>
        <v>1.0000000380493776</v>
      </c>
      <c r="Y99" s="160">
        <f t="shared" si="82"/>
        <v>-2.7586002424891018E-4</v>
      </c>
      <c r="Z99" s="98" t="str">
        <f t="shared" si="71"/>
        <v>0.999998332522466-0.00188876182514373i</v>
      </c>
      <c r="AA99" s="160">
        <f t="shared" si="83"/>
        <v>1.0000001162344656</v>
      </c>
      <c r="AB99" s="160">
        <f t="shared" si="84"/>
        <v>-1.8887627286074517E-3</v>
      </c>
      <c r="AC99" s="171" t="str">
        <f t="shared" si="85"/>
        <v>0.00769230062187822-1.86391075531617i</v>
      </c>
      <c r="AD99" s="190">
        <f t="shared" si="86"/>
        <v>5.4085762547821226</v>
      </c>
      <c r="AE99" s="169">
        <f t="shared" si="87"/>
        <v>-89.763543476016622</v>
      </c>
      <c r="AF99" s="98" t="str">
        <f t="shared" si="72"/>
        <v>-0.0000119284294234592</v>
      </c>
      <c r="AG99" s="98" t="str">
        <f t="shared" si="73"/>
        <v>2.27268098095418E-06i</v>
      </c>
      <c r="AH99" s="98">
        <f t="shared" si="88"/>
        <v>2.27268098095418E-6</v>
      </c>
      <c r="AI99" s="98">
        <f t="shared" si="89"/>
        <v>1.5707963267948966</v>
      </c>
      <c r="AJ99" s="98" t="str">
        <f t="shared" si="74"/>
        <v>1+0.00196270327804614i</v>
      </c>
      <c r="AK99" s="98">
        <f t="shared" si="90"/>
        <v>1.000001926100224</v>
      </c>
      <c r="AL99" s="98">
        <f t="shared" si="91"/>
        <v>1.9627007578073893E-3</v>
      </c>
      <c r="AM99" s="98" t="str">
        <f t="shared" si="75"/>
        <v>1+4.99793468375914i</v>
      </c>
      <c r="AN99" s="98">
        <f t="shared" si="92"/>
        <v>5.0969943204914969</v>
      </c>
      <c r="AO99" s="98">
        <f t="shared" si="93"/>
        <v>1.3733213001428275</v>
      </c>
      <c r="AP99" s="168" t="str">
        <f t="shared" si="94"/>
        <v>-26.2218367216571+5.30008153701503i</v>
      </c>
      <c r="AQ99" s="98">
        <f t="shared" si="95"/>
        <v>28.547162018920005</v>
      </c>
      <c r="AR99" s="169">
        <f t="shared" si="96"/>
        <v>168.57305994373345</v>
      </c>
      <c r="AS99" s="168" t="str">
        <f t="shared" si="97"/>
        <v>9.67717272997418+48.9159333101444i</v>
      </c>
      <c r="AT99" s="190">
        <f t="shared" si="98"/>
        <v>33.955738273702138</v>
      </c>
      <c r="AU99" s="169">
        <f t="shared" si="99"/>
        <v>78.809516467716847</v>
      </c>
      <c r="AV99" s="225"/>
      <c r="AX99">
        <f t="shared" si="100"/>
        <v>0</v>
      </c>
      <c r="AY99">
        <f t="shared" si="101"/>
        <v>0</v>
      </c>
    </row>
    <row r="100" spans="14:51" x14ac:dyDescent="0.2">
      <c r="N100" s="170">
        <v>82</v>
      </c>
      <c r="O100" s="199">
        <f t="shared" si="76"/>
        <v>66.069344800759623</v>
      </c>
      <c r="P100" s="189" t="str">
        <f t="shared" si="67"/>
        <v>771.276595744681</v>
      </c>
      <c r="Q100" s="160" t="str">
        <f t="shared" si="68"/>
        <v>1+423.428455237257i</v>
      </c>
      <c r="R100" s="160">
        <f t="shared" si="77"/>
        <v>423.4296360726417</v>
      </c>
      <c r="S100" s="160">
        <f t="shared" si="78"/>
        <v>1.5684346571232688</v>
      </c>
      <c r="T100" s="160" t="str">
        <f t="shared" si="69"/>
        <v>1+0.0000996302247617075i</v>
      </c>
      <c r="U100" s="160">
        <f t="shared" si="79"/>
        <v>1.0000000049630908</v>
      </c>
      <c r="V100" s="160">
        <f t="shared" si="80"/>
        <v>9.9630224432058272E-5</v>
      </c>
      <c r="W100" s="98" t="str">
        <f t="shared" si="70"/>
        <v>1-0.000282285636824838i</v>
      </c>
      <c r="X100" s="160">
        <f t="shared" si="81"/>
        <v>1.0000000398425894</v>
      </c>
      <c r="Y100" s="160">
        <f t="shared" si="82"/>
        <v>-2.8228562932684434E-4</v>
      </c>
      <c r="Z100" s="98" t="str">
        <f t="shared" si="71"/>
        <v>0.999998253936671-0.00193275673975699i</v>
      </c>
      <c r="AA100" s="160">
        <f t="shared" si="83"/>
        <v>1.0000001217124956</v>
      </c>
      <c r="AB100" s="160">
        <f t="shared" si="84"/>
        <v>-1.9327577078357499E-3</v>
      </c>
      <c r="AC100" s="171" t="str">
        <f t="shared" si="85"/>
        <v>0.00748956624881753-1.82148331357389i</v>
      </c>
      <c r="AD100" s="190">
        <f t="shared" si="86"/>
        <v>5.2085773662950157</v>
      </c>
      <c r="AE100" s="169">
        <f t="shared" si="87"/>
        <v>-89.764412819537029</v>
      </c>
      <c r="AF100" s="98" t="str">
        <f t="shared" si="72"/>
        <v>-0.0000119284294234592</v>
      </c>
      <c r="AG100" s="98" t="str">
        <f t="shared" si="73"/>
        <v>2.32561852150016E-06i</v>
      </c>
      <c r="AH100" s="98">
        <f t="shared" si="88"/>
        <v>2.3256185215001598E-6</v>
      </c>
      <c r="AI100" s="98">
        <f t="shared" si="89"/>
        <v>1.5707963267948966</v>
      </c>
      <c r="AJ100" s="98" t="str">
        <f t="shared" si="74"/>
        <v>1+0.00200842051035108i</v>
      </c>
      <c r="AK100" s="98">
        <f t="shared" si="90"/>
        <v>1.0000020168744392</v>
      </c>
      <c r="AL100" s="98">
        <f t="shared" si="91"/>
        <v>2.0084178098668986E-3</v>
      </c>
      <c r="AM100" s="98" t="str">
        <f t="shared" si="75"/>
        <v>1+5.11435153776765i</v>
      </c>
      <c r="AN100" s="98">
        <f t="shared" si="92"/>
        <v>5.2111986770671406</v>
      </c>
      <c r="AO100" s="98">
        <f t="shared" si="93"/>
        <v>1.3777042395711174</v>
      </c>
      <c r="AP100" s="168" t="str">
        <f t="shared" si="94"/>
        <v>-26.2218319611337+5.18180723432502i</v>
      </c>
      <c r="AQ100" s="98">
        <f t="shared" si="95"/>
        <v>28.539630856637253</v>
      </c>
      <c r="AR100" s="169">
        <f t="shared" si="96"/>
        <v>168.8215644807012</v>
      </c>
      <c r="AS100" s="168" t="str">
        <f t="shared" si="97"/>
        <v>9.24218526384122+47.8014388571136i</v>
      </c>
      <c r="AT100" s="190">
        <f t="shared" si="98"/>
        <v>33.748208222932263</v>
      </c>
      <c r="AU100" s="169">
        <f t="shared" si="99"/>
        <v>79.057151661164184</v>
      </c>
      <c r="AV100" s="225"/>
      <c r="AX100">
        <f t="shared" si="100"/>
        <v>0</v>
      </c>
      <c r="AY100">
        <f t="shared" si="101"/>
        <v>0</v>
      </c>
    </row>
    <row r="101" spans="14:51" x14ac:dyDescent="0.2">
      <c r="N101" s="170">
        <v>83</v>
      </c>
      <c r="O101" s="199">
        <f t="shared" si="76"/>
        <v>67.60829753919819</v>
      </c>
      <c r="P101" s="189" t="str">
        <f t="shared" si="67"/>
        <v>771.276595744681</v>
      </c>
      <c r="Q101" s="160" t="str">
        <f t="shared" si="68"/>
        <v>1+433.29137097655i</v>
      </c>
      <c r="R101" s="160">
        <f t="shared" si="77"/>
        <v>433.2925249329121</v>
      </c>
      <c r="S101" s="160">
        <f t="shared" si="78"/>
        <v>1.5684884150950626</v>
      </c>
      <c r="T101" s="160" t="str">
        <f t="shared" si="69"/>
        <v>1+0.000101950910818012i</v>
      </c>
      <c r="U101" s="160">
        <f t="shared" si="79"/>
        <v>1.0000000051969939</v>
      </c>
      <c r="V101" s="160">
        <f t="shared" si="80"/>
        <v>1.0195091046478649E-4</v>
      </c>
      <c r="W101" s="98" t="str">
        <f t="shared" si="70"/>
        <v>1-0.000288860913984366i</v>
      </c>
      <c r="X101" s="160">
        <f t="shared" si="81"/>
        <v>1.000000041720313</v>
      </c>
      <c r="Y101" s="160">
        <f t="shared" si="82"/>
        <v>-2.8886090595012107E-4</v>
      </c>
      <c r="Z101" s="98" t="str">
        <f t="shared" si="71"/>
        <v>0.999998171647242-0.00197777642757673i</v>
      </c>
      <c r="AA101" s="160">
        <f t="shared" si="83"/>
        <v>1.000000127448704</v>
      </c>
      <c r="AB101" s="160">
        <f t="shared" si="84"/>
        <v>-1.9777774648917427E-3</v>
      </c>
      <c r="AC101" s="171" t="str">
        <f t="shared" si="85"/>
        <v>0.00729595632572104-1.78002160328501i</v>
      </c>
      <c r="AD101" s="190">
        <f t="shared" si="86"/>
        <v>5.0085784250116925</v>
      </c>
      <c r="AE101" s="169">
        <f t="shared" si="87"/>
        <v>-89.765157252446386</v>
      </c>
      <c r="AF101" s="98" t="str">
        <f t="shared" si="72"/>
        <v>-0.0000119284294234592</v>
      </c>
      <c r="AG101" s="98" t="str">
        <f t="shared" si="73"/>
        <v>2.37978913576944E-06i</v>
      </c>
      <c r="AH101" s="98">
        <f t="shared" si="88"/>
        <v>2.3797891357694398E-6</v>
      </c>
      <c r="AI101" s="98">
        <f t="shared" si="89"/>
        <v>1.5707963267948966</v>
      </c>
      <c r="AJ101" s="98" t="str">
        <f t="shared" si="74"/>
        <v>1+0.0020552026337952i</v>
      </c>
      <c r="AK101" s="98">
        <f t="shared" si="90"/>
        <v>1.0000021119267029</v>
      </c>
      <c r="AL101" s="98">
        <f t="shared" si="91"/>
        <v>2.0551997401745963E-3</v>
      </c>
      <c r="AM101" s="98" t="str">
        <f t="shared" si="75"/>
        <v>1+5.23348008865794i</v>
      </c>
      <c r="AN101" s="98">
        <f t="shared" si="92"/>
        <v>5.3281623322097751</v>
      </c>
      <c r="AO101" s="98">
        <f t="shared" si="93"/>
        <v>1.3819946823325644</v>
      </c>
      <c r="AP101" s="168" t="str">
        <f t="shared" si="94"/>
        <v>-26.2218269762555+5.06628039351853i</v>
      </c>
      <c r="AQ101" s="98">
        <f t="shared" si="95"/>
        <v>28.532426370428215</v>
      </c>
      <c r="AR101" s="169">
        <f t="shared" si="96"/>
        <v>169.06470833601045</v>
      </c>
      <c r="AS101" s="168" t="str">
        <f t="shared" si="97"/>
        <v>8.82677524436289+46.7123818558214i</v>
      </c>
      <c r="AT101" s="190">
        <f t="shared" si="98"/>
        <v>33.541004795439903</v>
      </c>
      <c r="AU101" s="169">
        <f t="shared" si="99"/>
        <v>79.299551083564069</v>
      </c>
      <c r="AV101" s="225"/>
      <c r="AX101">
        <f t="shared" si="100"/>
        <v>0</v>
      </c>
      <c r="AY101">
        <f t="shared" si="101"/>
        <v>0</v>
      </c>
    </row>
    <row r="102" spans="14:51" x14ac:dyDescent="0.2">
      <c r="N102" s="170">
        <v>84</v>
      </c>
      <c r="O102" s="199">
        <f t="shared" si="76"/>
        <v>69.183097091893657</v>
      </c>
      <c r="P102" s="189" t="str">
        <f t="shared" si="67"/>
        <v>771.276595744681</v>
      </c>
      <c r="Q102" s="160" t="str">
        <f t="shared" si="68"/>
        <v>1+443.384023536024i</v>
      </c>
      <c r="R102" s="160">
        <f t="shared" si="77"/>
        <v>443.3851512252001</v>
      </c>
      <c r="S102" s="160">
        <f t="shared" si="78"/>
        <v>1.5685409493989124</v>
      </c>
      <c r="T102" s="160" t="str">
        <f t="shared" si="69"/>
        <v>1+0.000104325652596712i</v>
      </c>
      <c r="U102" s="160">
        <f t="shared" si="79"/>
        <v>1.0000000054419209</v>
      </c>
      <c r="V102" s="160">
        <f t="shared" si="80"/>
        <v>1.0432565221822404E-4</v>
      </c>
      <c r="W102" s="98" t="str">
        <f t="shared" si="70"/>
        <v>1-0.000295589349024016i</v>
      </c>
      <c r="X102" s="160">
        <f t="shared" si="81"/>
        <v>1.0000000436865306</v>
      </c>
      <c r="Y102" s="160">
        <f t="shared" si="82"/>
        <v>-2.9558934041516748E-4</v>
      </c>
      <c r="Z102" s="98" t="str">
        <f t="shared" si="71"/>
        <v>0.999998085479631-0.00202384475863733i</v>
      </c>
      <c r="AA102" s="160">
        <f t="shared" si="83"/>
        <v>1.0000001334552582</v>
      </c>
      <c r="AB102" s="160">
        <f t="shared" si="84"/>
        <v>-2.0238458701403172E-3</v>
      </c>
      <c r="AC102" s="171" t="str">
        <f t="shared" si="85"/>
        <v>0.00711106019342733-1.73950364377926i</v>
      </c>
      <c r="AD102" s="190">
        <f t="shared" si="86"/>
        <v>4.8085794331777185</v>
      </c>
      <c r="AE102" s="169">
        <f t="shared" si="87"/>
        <v>-89.765777169364668</v>
      </c>
      <c r="AF102" s="98" t="str">
        <f t="shared" si="72"/>
        <v>-0.0000119284294234592</v>
      </c>
      <c r="AG102" s="98" t="str">
        <f t="shared" si="73"/>
        <v>2.43522154573874E-06i</v>
      </c>
      <c r="AH102" s="98">
        <f t="shared" si="88"/>
        <v>2.4352215457387399E-6</v>
      </c>
      <c r="AI102" s="98">
        <f t="shared" si="89"/>
        <v>1.5707963267948966</v>
      </c>
      <c r="AJ102" s="98" t="str">
        <f t="shared" si="74"/>
        <v>1+0.00210307445287957i</v>
      </c>
      <c r="AK102" s="98">
        <f t="shared" si="90"/>
        <v>1.0000022114586318</v>
      </c>
      <c r="AL102" s="98">
        <f t="shared" si="91"/>
        <v>2.1030713523096018E-3</v>
      </c>
      <c r="AM102" s="98" t="str">
        <f t="shared" si="75"/>
        <v>1+5.35538349996453i</v>
      </c>
      <c r="AN102" s="98">
        <f t="shared" si="92"/>
        <v>5.4479475430378681</v>
      </c>
      <c r="AO102" s="98">
        <f t="shared" si="93"/>
        <v>1.3861942711476287</v>
      </c>
      <c r="AP102" s="168" t="str">
        <f t="shared" si="94"/>
        <v>-26.2218217564492+4.95343976067092i</v>
      </c>
      <c r="AQ102" s="98">
        <f t="shared" si="95"/>
        <v>28.525534891295635</v>
      </c>
      <c r="AR102" s="169">
        <f t="shared" si="96"/>
        <v>169.30258420947013</v>
      </c>
      <c r="AS102" s="168" t="str">
        <f t="shared" si="97"/>
        <v>8.4300615600367+45.6481787001763i</v>
      </c>
      <c r="AT102" s="190">
        <f t="shared" si="98"/>
        <v>33.334114324473354</v>
      </c>
      <c r="AU102" s="169">
        <f t="shared" si="99"/>
        <v>79.536807040105472</v>
      </c>
      <c r="AV102" s="225"/>
      <c r="AX102">
        <f t="shared" si="100"/>
        <v>0</v>
      </c>
      <c r="AY102">
        <f t="shared" si="101"/>
        <v>0</v>
      </c>
    </row>
    <row r="103" spans="14:51" x14ac:dyDescent="0.2">
      <c r="N103" s="170">
        <v>85</v>
      </c>
      <c r="O103" s="199">
        <f t="shared" si="76"/>
        <v>70.794578438413865</v>
      </c>
      <c r="P103" s="189" t="str">
        <f t="shared" si="67"/>
        <v>771.276595744681</v>
      </c>
      <c r="Q103" s="160" t="str">
        <f t="shared" si="68"/>
        <v>1+453.711764173659i</v>
      </c>
      <c r="R103" s="160">
        <f t="shared" si="77"/>
        <v>453.71286619355851</v>
      </c>
      <c r="S103" s="160">
        <f t="shared" si="78"/>
        <v>1.5685922878880407</v>
      </c>
      <c r="T103" s="160" t="str">
        <f t="shared" si="69"/>
        <v>1+0.000106755709217332i</v>
      </c>
      <c r="U103" s="160">
        <f t="shared" si="79"/>
        <v>1.0000000056983906</v>
      </c>
      <c r="V103" s="160">
        <f t="shared" si="80"/>
        <v>1.0675570881177484E-4</v>
      </c>
      <c r="W103" s="98" t="str">
        <f t="shared" si="70"/>
        <v>1-0.000302474509449106i</v>
      </c>
      <c r="X103" s="160">
        <f t="shared" si="81"/>
        <v>1.0000000457454135</v>
      </c>
      <c r="Y103" s="160">
        <f t="shared" si="82"/>
        <v>-3.0247450022455867E-4</v>
      </c>
      <c r="Z103" s="98" t="str">
        <f t="shared" si="71"/>
        <v>0.999997995251065-0.00207098615897772i</v>
      </c>
      <c r="AA103" s="160">
        <f t="shared" si="83"/>
        <v>1.0000001397449001</v>
      </c>
      <c r="AB103" s="160">
        <f t="shared" si="84"/>
        <v>-2.0709873499745461E-3</v>
      </c>
      <c r="AC103" s="171" t="str">
        <f t="shared" si="85"/>
        <v>0.00693448567471086-1.69990795458351i</v>
      </c>
      <c r="AD103" s="190">
        <f t="shared" si="86"/>
        <v>4.6085803929315832</v>
      </c>
      <c r="AE103" s="169">
        <f t="shared" si="87"/>
        <v>-89.766272898895366</v>
      </c>
      <c r="AF103" s="98" t="str">
        <f t="shared" si="72"/>
        <v>-0.0000119284294234592</v>
      </c>
      <c r="AG103" s="98" t="str">
        <f t="shared" si="73"/>
        <v>2.49194514240556E-06i</v>
      </c>
      <c r="AH103" s="98">
        <f t="shared" si="88"/>
        <v>2.4919451424055601E-6</v>
      </c>
      <c r="AI103" s="98">
        <f t="shared" si="89"/>
        <v>1.5707963267948966</v>
      </c>
      <c r="AJ103" s="98" t="str">
        <f t="shared" si="74"/>
        <v>1+0.00215206134987635i</v>
      </c>
      <c r="AK103" s="98">
        <f t="shared" si="90"/>
        <v>1.0000023156813456</v>
      </c>
      <c r="AL103" s="98">
        <f t="shared" si="91"/>
        <v>2.152058027556187E-3</v>
      </c>
      <c r="AM103" s="98" t="str">
        <f t="shared" si="75"/>
        <v>1+5.48012640648969i</v>
      </c>
      <c r="AN103" s="98">
        <f t="shared" si="92"/>
        <v>5.5706180474975673</v>
      </c>
      <c r="AO103" s="98">
        <f t="shared" si="93"/>
        <v>1.3903046398758356</v>
      </c>
      <c r="AP103" s="168" t="str">
        <f t="shared" si="94"/>
        <v>-26.2218162906434+4.84322550611595i</v>
      </c>
      <c r="AQ103" s="98">
        <f t="shared" si="95"/>
        <v>28.518943278638584</v>
      </c>
      <c r="AR103" s="169">
        <f t="shared" si="96"/>
        <v>169.53528426009498</v>
      </c>
      <c r="AS103" s="168" t="str">
        <f t="shared" si="97"/>
        <v>8.05120275425588+44.6082593739837i</v>
      </c>
      <c r="AT103" s="190">
        <f t="shared" si="98"/>
        <v>33.12752367157016</v>
      </c>
      <c r="AU103" s="169">
        <f t="shared" si="99"/>
        <v>79.769011361199617</v>
      </c>
      <c r="AV103" s="225"/>
      <c r="AX103">
        <f t="shared" si="100"/>
        <v>0</v>
      </c>
      <c r="AY103">
        <f t="shared" si="101"/>
        <v>0</v>
      </c>
    </row>
    <row r="104" spans="14:51" x14ac:dyDescent="0.2">
      <c r="N104" s="170">
        <v>86</v>
      </c>
      <c r="O104" s="199">
        <f t="shared" si="76"/>
        <v>72.443596007499011</v>
      </c>
      <c r="P104" s="189" t="str">
        <f t="shared" si="67"/>
        <v>771.276595744681</v>
      </c>
      <c r="Q104" s="160" t="str">
        <f t="shared" si="68"/>
        <v>1+464.280068794242i</v>
      </c>
      <c r="R104" s="160">
        <f t="shared" si="77"/>
        <v>464.28114572916496</v>
      </c>
      <c r="S104" s="160">
        <f t="shared" si="78"/>
        <v>1.5686424577817111</v>
      </c>
      <c r="T104" s="160" t="str">
        <f t="shared" si="69"/>
        <v>1+0.000109242369128057i</v>
      </c>
      <c r="U104" s="160">
        <f t="shared" si="79"/>
        <v>1.0000000059669476</v>
      </c>
      <c r="V104" s="160">
        <f t="shared" si="80"/>
        <v>1.0924236869349468E-4</v>
      </c>
      <c r="W104" s="98" t="str">
        <f t="shared" si="70"/>
        <v>1-0.000309520045862828i</v>
      </c>
      <c r="X104" s="160">
        <f t="shared" si="81"/>
        <v>1.0000000479013282</v>
      </c>
      <c r="Y104" s="160">
        <f t="shared" si="82"/>
        <v>-3.0952003597854743E-4</v>
      </c>
      <c r="Z104" s="98" t="str">
        <f t="shared" si="71"/>
        <v>0.999997900770159-0.00211922562359233i</v>
      </c>
      <c r="AA104" s="160">
        <f t="shared" si="83"/>
        <v>1.0000001463309736</v>
      </c>
      <c r="AB104" s="160">
        <f t="shared" si="84"/>
        <v>-2.1192268997683263E-3</v>
      </c>
      <c r="AC104" s="171" t="str">
        <f t="shared" si="85"/>
        <v>0.00676585824252521-1.66121354404532i</v>
      </c>
      <c r="AD104" s="190">
        <f t="shared" si="86"/>
        <v>4.408581306309066</v>
      </c>
      <c r="AE104" s="169">
        <f t="shared" si="87"/>
        <v>-89.766644703799301</v>
      </c>
      <c r="AF104" s="98" t="str">
        <f t="shared" si="72"/>
        <v>-0.0000119284294234592</v>
      </c>
      <c r="AG104" s="98" t="str">
        <f t="shared" si="73"/>
        <v>2.54999000137167E-06i</v>
      </c>
      <c r="AH104" s="98">
        <f t="shared" si="88"/>
        <v>2.5499900013716702E-6</v>
      </c>
      <c r="AI104" s="98">
        <f t="shared" si="89"/>
        <v>1.5707963267948966</v>
      </c>
      <c r="AJ104" s="98" t="str">
        <f t="shared" si="74"/>
        <v>1+0.00220218929828672i</v>
      </c>
      <c r="AK104" s="98">
        <f t="shared" si="90"/>
        <v>1.0000024248159129</v>
      </c>
      <c r="AL104" s="98">
        <f t="shared" si="91"/>
        <v>2.2021857383569938E-3</v>
      </c>
      <c r="AM104" s="98" t="str">
        <f t="shared" si="75"/>
        <v>1+5.60777494857359i</v>
      </c>
      <c r="AN104" s="98">
        <f t="shared" si="92"/>
        <v>5.6962390990766467</v>
      </c>
      <c r="AO104" s="98">
        <f t="shared" si="93"/>
        <v>1.3943274120551432</v>
      </c>
      <c r="AP104" s="168" t="str">
        <f t="shared" si="94"/>
        <v>-26.2218105672444+4.735579192723i</v>
      </c>
      <c r="AQ104" s="98">
        <f t="shared" si="95"/>
        <v>28.512638903516525</v>
      </c>
      <c r="AR104" s="169">
        <f t="shared" si="96"/>
        <v>169.7629000216464</v>
      </c>
      <c r="AS104" s="168" t="str">
        <f t="shared" si="97"/>
        <v>7.68939524069032+43.5920671212113i</v>
      </c>
      <c r="AT104" s="190">
        <f t="shared" si="98"/>
        <v>32.921220209825591</v>
      </c>
      <c r="AU104" s="169">
        <f t="shared" si="99"/>
        <v>79.996255317847101</v>
      </c>
      <c r="AV104" s="225"/>
      <c r="AX104">
        <f t="shared" si="100"/>
        <v>0</v>
      </c>
      <c r="AY104">
        <f t="shared" si="101"/>
        <v>0</v>
      </c>
    </row>
    <row r="105" spans="14:51" x14ac:dyDescent="0.2">
      <c r="N105" s="170">
        <v>87</v>
      </c>
      <c r="O105" s="199">
        <f t="shared" si="76"/>
        <v>74.131024130091816</v>
      </c>
      <c r="P105" s="189" t="str">
        <f t="shared" si="67"/>
        <v>771.276595744681</v>
      </c>
      <c r="Q105" s="160" t="str">
        <f t="shared" si="68"/>
        <v>1+475.094540852775i</v>
      </c>
      <c r="R105" s="160">
        <f t="shared" si="77"/>
        <v>475.09559327372114</v>
      </c>
      <c r="S105" s="160">
        <f t="shared" si="78"/>
        <v>1.5686914856796541</v>
      </c>
      <c r="T105" s="160" t="str">
        <f t="shared" si="69"/>
        <v>1+0.000111786950788888i</v>
      </c>
      <c r="U105" s="160">
        <f t="shared" si="79"/>
        <v>1.0000000062481611</v>
      </c>
      <c r="V105" s="160">
        <f t="shared" si="80"/>
        <v>1.1178695032324608E-4</v>
      </c>
      <c r="W105" s="98" t="str">
        <f t="shared" si="70"/>
        <v>1-0.00031672969390185i</v>
      </c>
      <c r="X105" s="160">
        <f t="shared" si="81"/>
        <v>1.0000000501588482</v>
      </c>
      <c r="Y105" s="160">
        <f t="shared" si="82"/>
        <v>-3.167296833106526E-4</v>
      </c>
      <c r="Z105" s="98" t="str">
        <f t="shared" si="71"/>
        <v>0.999997801836505-0.00216858872968384i</v>
      </c>
      <c r="AA105" s="160">
        <f t="shared" si="83"/>
        <v>1.0000001532274485</v>
      </c>
      <c r="AB105" s="160">
        <f t="shared" si="84"/>
        <v>-2.168590097130951E-3</v>
      </c>
      <c r="AC105" s="171" t="str">
        <f t="shared" si="85"/>
        <v>0.00660482022567614-1.62339989821481i</v>
      </c>
      <c r="AD105" s="190">
        <f t="shared" si="86"/>
        <v>4.2085821752473311</v>
      </c>
      <c r="AE105" s="169">
        <f t="shared" si="87"/>
        <v>-89.766892781133578</v>
      </c>
      <c r="AF105" s="98" t="str">
        <f t="shared" si="72"/>
        <v>-0.0000119284294234592</v>
      </c>
      <c r="AG105" s="98" t="str">
        <f t="shared" si="73"/>
        <v>2.60938689878963E-06i</v>
      </c>
      <c r="AH105" s="98">
        <f t="shared" si="88"/>
        <v>2.60938689878963E-6</v>
      </c>
      <c r="AI105" s="98">
        <f t="shared" si="89"/>
        <v>1.5707963267948966</v>
      </c>
      <c r="AJ105" s="98" t="str">
        <f t="shared" si="74"/>
        <v>1+0.00225348487661248i</v>
      </c>
      <c r="AK105" s="98">
        <f t="shared" si="90"/>
        <v>1.000002539093821</v>
      </c>
      <c r="AL105" s="98">
        <f t="shared" si="91"/>
        <v>2.2534810620795757E-3</v>
      </c>
      <c r="AM105" s="98" t="str">
        <f t="shared" si="75"/>
        <v>1+5.73839680716293i</v>
      </c>
      <c r="AN105" s="98">
        <f t="shared" si="92"/>
        <v>5.8248775022705592</v>
      </c>
      <c r="AO105" s="98">
        <f t="shared" si="93"/>
        <v>1.3982641995611935</v>
      </c>
      <c r="AP105" s="168" t="str">
        <f t="shared" si="94"/>
        <v>-26.2218045741126+4.63044374491247i</v>
      </c>
      <c r="AQ105" s="98">
        <f t="shared" si="95"/>
        <v>28.506609632115602</v>
      </c>
      <c r="AR105" s="169">
        <f t="shared" si="96"/>
        <v>169.98552232502487</v>
      </c>
      <c r="AS105" s="168" t="str">
        <f t="shared" si="97"/>
        <v>7.34387159897548+42.5990581251233i</v>
      </c>
      <c r="AT105" s="190">
        <f t="shared" si="98"/>
        <v>32.715191807362935</v>
      </c>
      <c r="AU105" s="169">
        <f t="shared" si="99"/>
        <v>80.218629543891282</v>
      </c>
      <c r="AV105" s="225"/>
      <c r="AX105">
        <f t="shared" si="100"/>
        <v>0</v>
      </c>
      <c r="AY105">
        <f t="shared" si="101"/>
        <v>0</v>
      </c>
    </row>
    <row r="106" spans="14:51" x14ac:dyDescent="0.2">
      <c r="N106" s="170">
        <v>88</v>
      </c>
      <c r="O106" s="199">
        <f t="shared" si="76"/>
        <v>75.857757502918361</v>
      </c>
      <c r="P106" s="189" t="str">
        <f t="shared" si="67"/>
        <v>771.276595744681</v>
      </c>
      <c r="Q106" s="160" t="str">
        <f t="shared" si="68"/>
        <v>1+486.160914325488i</v>
      </c>
      <c r="R106" s="160">
        <f t="shared" si="77"/>
        <v>486.16194279046005</v>
      </c>
      <c r="S106" s="160">
        <f t="shared" si="78"/>
        <v>1.5687393975761672</v>
      </c>
      <c r="T106" s="160" t="str">
        <f t="shared" si="69"/>
        <v>1+0.000114390803370703i</v>
      </c>
      <c r="U106" s="160">
        <f t="shared" si="79"/>
        <v>1.000000006542628</v>
      </c>
      <c r="V106" s="160">
        <f t="shared" si="80"/>
        <v>1.1439080287175869E-4</v>
      </c>
      <c r="W106" s="98" t="str">
        <f t="shared" si="70"/>
        <v>1-0.000324107276216991i</v>
      </c>
      <c r="X106" s="160">
        <f t="shared" si="81"/>
        <v>1.0000000525227619</v>
      </c>
      <c r="Y106" s="160">
        <f t="shared" si="82"/>
        <v>-3.2410726486831854E-4</v>
      </c>
      <c r="Z106" s="98" t="str">
        <f t="shared" si="71"/>
        <v>0.999997698240251-0.0022191016502245i</v>
      </c>
      <c r="AA106" s="160">
        <f t="shared" si="83"/>
        <v>1.0000001604489541</v>
      </c>
      <c r="AB106" s="160">
        <f t="shared" si="84"/>
        <v>-2.2191031154703599E-3</v>
      </c>
      <c r="AC106" s="171" t="str">
        <f t="shared" si="85"/>
        <v>0.00645103005023978-1.58644696997917i</v>
      </c>
      <c r="AD106" s="190">
        <f t="shared" si="86"/>
        <v>4.0085830015896295</v>
      </c>
      <c r="AE106" s="169">
        <f t="shared" si="87"/>
        <v>-89.767017262355694</v>
      </c>
      <c r="AF106" s="98" t="str">
        <f t="shared" si="72"/>
        <v>-0.0000119284294234592</v>
      </c>
      <c r="AG106" s="98" t="str">
        <f t="shared" si="73"/>
        <v>2.67016732768063E-06i</v>
      </c>
      <c r="AH106" s="98">
        <f t="shared" si="88"/>
        <v>2.67016732768063E-6</v>
      </c>
      <c r="AI106" s="98">
        <f t="shared" si="89"/>
        <v>1.5707963267948966</v>
      </c>
      <c r="AJ106" s="98" t="str">
        <f t="shared" si="74"/>
        <v>1+0.00230597528244821i</v>
      </c>
      <c r="AK106" s="98">
        <f t="shared" si="90"/>
        <v>1.0000026587574671</v>
      </c>
      <c r="AL106" s="98">
        <f t="shared" si="91"/>
        <v>2.3059711951031493E-3</v>
      </c>
      <c r="AM106" s="98" t="str">
        <f t="shared" si="75"/>
        <v>1+5.87206123969608i</v>
      </c>
      <c r="AN106" s="98">
        <f t="shared" si="92"/>
        <v>5.9566016488213362</v>
      </c>
      <c r="AO106" s="98">
        <f t="shared" si="93"/>
        <v>1.4021166013802875</v>
      </c>
      <c r="AP106" s="168" t="str">
        <f t="shared" si="94"/>
        <v>-26.2217982985362+4.52776341839339i</v>
      </c>
      <c r="AQ106" s="98">
        <f t="shared" si="95"/>
        <v>28.500843809447257</v>
      </c>
      <c r="AR106" s="169">
        <f t="shared" si="96"/>
        <v>170.20324122715911</v>
      </c>
      <c r="AS106" s="168" t="str">
        <f t="shared" si="97"/>
        <v>7.01389894709754+41.6287011959901i</v>
      </c>
      <c r="AT106" s="190">
        <f t="shared" si="98"/>
        <v>32.509426811036882</v>
      </c>
      <c r="AU106" s="169">
        <f t="shared" si="99"/>
        <v>80.436223964803403</v>
      </c>
      <c r="AV106" s="225"/>
      <c r="AX106">
        <f t="shared" si="100"/>
        <v>0</v>
      </c>
      <c r="AY106">
        <f t="shared" si="101"/>
        <v>0</v>
      </c>
    </row>
    <row r="107" spans="14:51" x14ac:dyDescent="0.2">
      <c r="N107" s="170">
        <v>89</v>
      </c>
      <c r="O107" s="199">
        <f t="shared" si="76"/>
        <v>77.624711662869217</v>
      </c>
      <c r="P107" s="189" t="str">
        <f t="shared" si="67"/>
        <v>771.276595744681</v>
      </c>
      <c r="Q107" s="160" t="str">
        <f t="shared" si="68"/>
        <v>1+497.485056750076i</v>
      </c>
      <c r="R107" s="160">
        <f t="shared" si="77"/>
        <v>497.48606180437497</v>
      </c>
      <c r="S107" s="160">
        <f t="shared" si="78"/>
        <v>1.5687862188738915</v>
      </c>
      <c r="T107" s="160" t="str">
        <f t="shared" si="69"/>
        <v>1+0.000117055307470606i</v>
      </c>
      <c r="U107" s="160">
        <f t="shared" si="79"/>
        <v>1.0000000068509725</v>
      </c>
      <c r="V107" s="160">
        <f t="shared" si="80"/>
        <v>1.1705530693597755E-4</v>
      </c>
      <c r="W107" s="98" t="str">
        <f t="shared" si="70"/>
        <v>1-0.00033165670450005i</v>
      </c>
      <c r="X107" s="160">
        <f t="shared" si="81"/>
        <v>1.0000000549980834</v>
      </c>
      <c r="Y107" s="160">
        <f t="shared" si="82"/>
        <v>-3.3165669233972841E-4</v>
      </c>
      <c r="Z107" s="98" t="str">
        <f t="shared" si="71"/>
        <v>0.999997589761656-0.00227079116783339i</v>
      </c>
      <c r="AA107" s="160">
        <f t="shared" si="83"/>
        <v>1.0000001680108104</v>
      </c>
      <c r="AB107" s="160">
        <f t="shared" si="84"/>
        <v>-2.2707927378724825E-3</v>
      </c>
      <c r="AC107" s="171" t="str">
        <f t="shared" si="85"/>
        <v>0.00630416151511717-1.55033516844373i</v>
      </c>
      <c r="AD107" s="190">
        <f t="shared" si="86"/>
        <v>3.8085837870886685</v>
      </c>
      <c r="AE107" s="169">
        <f t="shared" si="87"/>
        <v>-89.767018213392831</v>
      </c>
      <c r="AF107" s="98" t="str">
        <f t="shared" si="72"/>
        <v>-0.0000119284294234592</v>
      </c>
      <c r="AG107" s="98" t="str">
        <f t="shared" si="73"/>
        <v>2.73236351463262E-06i</v>
      </c>
      <c r="AH107" s="98">
        <f t="shared" si="88"/>
        <v>2.73236351463262E-6</v>
      </c>
      <c r="AI107" s="98">
        <f t="shared" si="89"/>
        <v>1.5707963267948966</v>
      </c>
      <c r="AJ107" s="98" t="str">
        <f t="shared" si="74"/>
        <v>1+0.00235968834690189i</v>
      </c>
      <c r="AK107" s="98">
        <f t="shared" si="90"/>
        <v>1.0000027840606718</v>
      </c>
      <c r="AL107" s="98">
        <f t="shared" si="91"/>
        <v>2.3596839672334093E-3</v>
      </c>
      <c r="AM107" s="98" t="str">
        <f t="shared" si="75"/>
        <v>1+6.00883911682444i</v>
      </c>
      <c r="AN107" s="98">
        <f t="shared" si="92"/>
        <v>6.0914815547516445</v>
      </c>
      <c r="AO107" s="98">
        <f t="shared" si="93"/>
        <v>1.4058862024901058</v>
      </c>
      <c r="AP107" s="168" t="str">
        <f t="shared" si="94"/>
        <v>-26.2217917272042+4.42748377060636i</v>
      </c>
      <c r="AQ107" s="98">
        <f t="shared" si="95"/>
        <v>28.495330243306931</v>
      </c>
      <c r="AR107" s="169">
        <f t="shared" si="96"/>
        <v>170.41614594605053</v>
      </c>
      <c r="AS107" s="168" t="str">
        <f t="shared" si="97"/>
        <v>6.69877738702083+40.680477467087i</v>
      </c>
      <c r="AT107" s="190">
        <f t="shared" si="98"/>
        <v>32.303914030395603</v>
      </c>
      <c r="AU107" s="169">
        <f t="shared" si="99"/>
        <v>80.649127732657718</v>
      </c>
      <c r="AV107" s="225"/>
      <c r="AX107">
        <f t="shared" si="100"/>
        <v>0</v>
      </c>
      <c r="AY107">
        <f t="shared" si="101"/>
        <v>0</v>
      </c>
    </row>
    <row r="108" spans="14:51" x14ac:dyDescent="0.2">
      <c r="N108" s="170">
        <v>90</v>
      </c>
      <c r="O108" s="199">
        <f t="shared" si="76"/>
        <v>79.432823472428197</v>
      </c>
      <c r="P108" s="189" t="str">
        <f t="shared" si="67"/>
        <v>771.276595744681</v>
      </c>
      <c r="Q108" s="160" t="str">
        <f t="shared" si="68"/>
        <v>1+509.072972336746i</v>
      </c>
      <c r="R108" s="160">
        <f t="shared" si="77"/>
        <v>509.07395451326056</v>
      </c>
      <c r="S108" s="160">
        <f t="shared" si="78"/>
        <v>1.5688319743972772</v>
      </c>
      <c r="T108" s="160" t="str">
        <f t="shared" si="69"/>
        <v>1+0.00011978187584394i</v>
      </c>
      <c r="U108" s="160">
        <f t="shared" si="79"/>
        <v>1.0000000071738488</v>
      </c>
      <c r="V108" s="160">
        <f t="shared" si="80"/>
        <v>1.1978187527107529E-4</v>
      </c>
      <c r="W108" s="98" t="str">
        <f t="shared" si="70"/>
        <v>1-0.00033938198155783i</v>
      </c>
      <c r="X108" s="160">
        <f t="shared" si="81"/>
        <v>1.0000000575900632</v>
      </c>
      <c r="Y108" s="160">
        <f t="shared" si="82"/>
        <v>-3.3938196852781072E-4</v>
      </c>
      <c r="Z108" s="98" t="str">
        <f t="shared" si="71"/>
        <v>0.999997476170622-0.00232368468897694i</v>
      </c>
      <c r="AA108" s="160">
        <f t="shared" si="83"/>
        <v>1.0000001759290582</v>
      </c>
      <c r="AB108" s="160">
        <f t="shared" si="84"/>
        <v>-2.3236863713039899E-3</v>
      </c>
      <c r="AC108" s="171" t="str">
        <f t="shared" si="85"/>
        <v>0.00616390310019006-1.51504534855438i</v>
      </c>
      <c r="AD108" s="190">
        <f t="shared" si="86"/>
        <v>3.6085845334105731</v>
      </c>
      <c r="AE108" s="169">
        <f t="shared" si="87"/>
        <v>-89.766895634676501</v>
      </c>
      <c r="AF108" s="98" t="str">
        <f t="shared" si="72"/>
        <v>-0.0000119284294234592</v>
      </c>
      <c r="AG108" s="98" t="str">
        <f t="shared" si="73"/>
        <v>2.79600843688717E-06i</v>
      </c>
      <c r="AH108" s="98">
        <f t="shared" si="88"/>
        <v>2.7960084368871701E-6</v>
      </c>
      <c r="AI108" s="98">
        <f t="shared" si="89"/>
        <v>1.5707963267948966</v>
      </c>
      <c r="AJ108" s="98" t="str">
        <f t="shared" si="74"/>
        <v>1+0.00241465254935126i</v>
      </c>
      <c r="AK108" s="98">
        <f t="shared" si="90"/>
        <v>1.0000029152692176</v>
      </c>
      <c r="AL108" s="98">
        <f t="shared" si="91"/>
        <v>2.4146478564526712E-3</v>
      </c>
      <c r="AM108" s="98" t="str">
        <f t="shared" si="75"/>
        <v>1+6.14880295998893i</v>
      </c>
      <c r="AN108" s="98">
        <f t="shared" si="92"/>
        <v>6.2295888982154048</v>
      </c>
      <c r="AO108" s="98">
        <f t="shared" si="93"/>
        <v>1.4095745728423239</v>
      </c>
      <c r="AP108" s="168" t="str">
        <f t="shared" si="94"/>
        <v>-26.2217848461784+4.32955163185724i</v>
      </c>
      <c r="AQ108" s="98">
        <f t="shared" si="95"/>
        <v>28.490058188516226</v>
      </c>
      <c r="AR108" s="169">
        <f t="shared" si="96"/>
        <v>170.62432480163594</v>
      </c>
      <c r="AS108" s="168" t="str">
        <f t="shared" si="97"/>
        <v>6.39783852026546+39.7538800987224i</v>
      </c>
      <c r="AT108" s="190">
        <f t="shared" si="98"/>
        <v>32.098642721926808</v>
      </c>
      <c r="AU108" s="169">
        <f t="shared" si="99"/>
        <v>80.857429166959449</v>
      </c>
      <c r="AV108" s="225"/>
      <c r="AX108">
        <f t="shared" si="100"/>
        <v>0</v>
      </c>
      <c r="AY108">
        <f t="shared" si="101"/>
        <v>0</v>
      </c>
    </row>
    <row r="109" spans="14:51" x14ac:dyDescent="0.2">
      <c r="N109" s="170">
        <v>91</v>
      </c>
      <c r="O109" s="199">
        <f t="shared" si="76"/>
        <v>81.283051616409963</v>
      </c>
      <c r="P109" s="189" t="str">
        <f t="shared" si="67"/>
        <v>771.276595744681</v>
      </c>
      <c r="Q109" s="160" t="str">
        <f t="shared" si="68"/>
        <v>1+520.930805151726i</v>
      </c>
      <c r="R109" s="160">
        <f t="shared" si="77"/>
        <v>520.93176497121533</v>
      </c>
      <c r="S109" s="160">
        <f t="shared" si="78"/>
        <v>1.5688766884057419</v>
      </c>
      <c r="T109" s="160" t="str">
        <f t="shared" si="69"/>
        <v>1+0.000122571954153347i</v>
      </c>
      <c r="U109" s="160">
        <f t="shared" si="79"/>
        <v>1.000000007511942</v>
      </c>
      <c r="V109" s="160">
        <f t="shared" si="80"/>
        <v>1.225719535395114E-4</v>
      </c>
      <c r="W109" s="98" t="str">
        <f t="shared" si="70"/>
        <v>1-0.000347287203434483i</v>
      </c>
      <c r="X109" s="160">
        <f t="shared" si="81"/>
        <v>1.000000060304199</v>
      </c>
      <c r="Y109" s="160">
        <f t="shared" si="82"/>
        <v>-3.4728718947256584E-4</v>
      </c>
      <c r="Z109" s="98" t="str">
        <f t="shared" si="71"/>
        <v>0.999997357226208-0.00237781025850018i</v>
      </c>
      <c r="AA109" s="160">
        <f t="shared" si="83"/>
        <v>1.0000001842204957</v>
      </c>
      <c r="AB109" s="160">
        <f t="shared" si="84"/>
        <v>-2.3778120611459234E-3</v>
      </c>
      <c r="AC109" s="171" t="str">
        <f t="shared" si="85"/>
        <v>0.00602995730561076-1.48055880095567i</v>
      </c>
      <c r="AD109" s="190">
        <f t="shared" si="86"/>
        <v>3.4085852421383587</v>
      </c>
      <c r="AE109" s="169">
        <f t="shared" si="87"/>
        <v>-89.766649461142435</v>
      </c>
      <c r="AF109" s="98" t="str">
        <f t="shared" si="72"/>
        <v>-0.0000119284294234592</v>
      </c>
      <c r="AG109" s="98" t="str">
        <f t="shared" si="73"/>
        <v>2.86113583982451E-06i</v>
      </c>
      <c r="AH109" s="98">
        <f t="shared" si="88"/>
        <v>2.86113583982451E-6</v>
      </c>
      <c r="AI109" s="98">
        <f t="shared" si="89"/>
        <v>1.5707963267948966</v>
      </c>
      <c r="AJ109" s="98" t="str">
        <f t="shared" si="74"/>
        <v>1+0.002470897032544i</v>
      </c>
      <c r="AK109" s="98">
        <f t="shared" si="90"/>
        <v>1.0000030526614134</v>
      </c>
      <c r="AL109" s="98">
        <f t="shared" si="91"/>
        <v>2.4708920040133935E-3</v>
      </c>
      <c r="AM109" s="98" t="str">
        <f t="shared" si="75"/>
        <v>1+6.29202697987182i</v>
      </c>
      <c r="AN109" s="98">
        <f t="shared" si="92"/>
        <v>6.3709970581875881</v>
      </c>
      <c r="AO109" s="98">
        <f t="shared" si="93"/>
        <v>1.4131832664414776</v>
      </c>
      <c r="AP109" s="168" t="str">
        <f t="shared" si="94"/>
        <v>-26.2217776408637+4.23391507712521i</v>
      </c>
      <c r="AQ109" s="98">
        <f t="shared" si="95"/>
        <v>28.485017331468413</v>
      </c>
      <c r="AR109" s="169">
        <f t="shared" si="96"/>
        <v>170.8278651621458</v>
      </c>
      <c r="AS109" s="168" t="str">
        <f t="shared" si="97"/>
        <v>6.11044403028501+38.848413990034i</v>
      </c>
      <c r="AT109" s="190">
        <f t="shared" si="98"/>
        <v>31.893602573606771</v>
      </c>
      <c r="AU109" s="169">
        <f t="shared" si="99"/>
        <v>81.061215701003348</v>
      </c>
      <c r="AV109" s="225"/>
      <c r="AX109">
        <f t="shared" si="100"/>
        <v>0</v>
      </c>
      <c r="AY109">
        <f t="shared" si="101"/>
        <v>0</v>
      </c>
    </row>
    <row r="110" spans="14:51" x14ac:dyDescent="0.2">
      <c r="N110" s="170">
        <v>92</v>
      </c>
      <c r="O110" s="199">
        <f t="shared" si="76"/>
        <v>83.176377110267126</v>
      </c>
      <c r="P110" s="189" t="str">
        <f t="shared" si="67"/>
        <v>771.276595744681</v>
      </c>
      <c r="Q110" s="160" t="str">
        <f t="shared" si="68"/>
        <v>1+533.064842374932i</v>
      </c>
      <c r="R110" s="160">
        <f t="shared" si="77"/>
        <v>533.06578034630127</v>
      </c>
      <c r="S110" s="160">
        <f t="shared" si="78"/>
        <v>1.5689203846065289</v>
      </c>
      <c r="T110" s="160" t="str">
        <f t="shared" si="69"/>
        <v>1+0.000125427021735278i</v>
      </c>
      <c r="U110" s="160">
        <f t="shared" si="79"/>
        <v>1.0000000078659688</v>
      </c>
      <c r="V110" s="160">
        <f t="shared" si="80"/>
        <v>1.254270210775413E-4</v>
      </c>
      <c r="W110" s="98" t="str">
        <f t="shared" si="70"/>
        <v>1-0.000355376561583288i</v>
      </c>
      <c r="X110" s="160">
        <f t="shared" si="81"/>
        <v>1.0000000631462482</v>
      </c>
      <c r="Y110" s="160">
        <f t="shared" si="82"/>
        <v>-3.5537654662282423E-4</v>
      </c>
      <c r="Z110" s="98" t="str">
        <f t="shared" si="71"/>
        <v>0.999997232676116-0.00243319657449652i</v>
      </c>
      <c r="AA110" s="160">
        <f t="shared" si="83"/>
        <v>1.0000001929027116</v>
      </c>
      <c r="AB110" s="160">
        <f t="shared" si="84"/>
        <v>-2.4331985060660481E-3</v>
      </c>
      <c r="AC110" s="171" t="str">
        <f t="shared" si="85"/>
        <v>0.00590204002082496-1.44685724207933i</v>
      </c>
      <c r="AD110" s="190">
        <f t="shared" si="86"/>
        <v>3.2085859147752744</v>
      </c>
      <c r="AE110" s="169">
        <f t="shared" si="87"/>
        <v>-89.766279562195649</v>
      </c>
      <c r="AF110" s="98" t="str">
        <f t="shared" si="72"/>
        <v>-0.0000119284294234592</v>
      </c>
      <c r="AG110" s="98" t="str">
        <f t="shared" si="73"/>
        <v>2.92778025485573E-06i</v>
      </c>
      <c r="AH110" s="98">
        <f t="shared" si="88"/>
        <v>2.9277802548557302E-6</v>
      </c>
      <c r="AI110" s="98">
        <f t="shared" si="89"/>
        <v>1.5707963267948966</v>
      </c>
      <c r="AJ110" s="98" t="str">
        <f t="shared" si="74"/>
        <v>1+0.00252845161804959i</v>
      </c>
      <c r="AK110" s="98">
        <f t="shared" si="90"/>
        <v>1.0000031965286835</v>
      </c>
      <c r="AL110" s="98">
        <f t="shared" si="91"/>
        <v>2.5284462298828985E-3</v>
      </c>
      <c r="AM110" s="98" t="str">
        <f t="shared" si="75"/>
        <v>1+6.43858711574428i</v>
      </c>
      <c r="AN110" s="98">
        <f t="shared" si="92"/>
        <v>6.5157811540158592</v>
      </c>
      <c r="AO110" s="98">
        <f t="shared" si="93"/>
        <v>1.4167138205146004</v>
      </c>
      <c r="AP110" s="168" t="str">
        <f t="shared" si="94"/>
        <v>-26.2217700959772+4.14052339853101i</v>
      </c>
      <c r="AQ110" s="98">
        <f t="shared" si="95"/>
        <v>28.480197774994398</v>
      </c>
      <c r="AR110" s="169">
        <f t="shared" si="96"/>
        <v>171.02685339564295</v>
      </c>
      <c r="AS110" s="168" t="str">
        <f t="shared" si="97"/>
        <v>5.83598432864018+37.9635954983091i</v>
      </c>
      <c r="AT110" s="190">
        <f t="shared" si="98"/>
        <v>31.688783689769672</v>
      </c>
      <c r="AU110" s="169">
        <f t="shared" si="99"/>
        <v>81.26057383344731</v>
      </c>
      <c r="AV110" s="225"/>
      <c r="AX110">
        <f t="shared" si="100"/>
        <v>0</v>
      </c>
      <c r="AY110">
        <f t="shared" si="101"/>
        <v>0</v>
      </c>
    </row>
    <row r="111" spans="14:51" x14ac:dyDescent="0.2">
      <c r="N111" s="170">
        <v>93</v>
      </c>
      <c r="O111" s="199">
        <f t="shared" si="76"/>
        <v>85.113803820237734</v>
      </c>
      <c r="P111" s="189" t="str">
        <f t="shared" si="67"/>
        <v>771.276595744681</v>
      </c>
      <c r="Q111" s="160" t="str">
        <f t="shared" si="68"/>
        <v>1+545.481517633514i</v>
      </c>
      <c r="R111" s="160">
        <f t="shared" si="77"/>
        <v>545.48243425408464</v>
      </c>
      <c r="S111" s="160">
        <f t="shared" si="78"/>
        <v>1.5689630861672745</v>
      </c>
      <c r="T111" s="160" t="str">
        <f t="shared" si="69"/>
        <v>1+0.000128348592384356i</v>
      </c>
      <c r="U111" s="160">
        <f t="shared" si="79"/>
        <v>1.0000000082366804</v>
      </c>
      <c r="V111" s="160">
        <f t="shared" si="80"/>
        <v>1.2834859167957843E-4</v>
      </c>
      <c r="W111" s="98" t="str">
        <f t="shared" si="70"/>
        <v>1-0.000363654345089009i</v>
      </c>
      <c r="X111" s="160">
        <f t="shared" si="81"/>
        <v>1.0000000661222392</v>
      </c>
      <c r="Y111" s="160">
        <f t="shared" si="82"/>
        <v>-3.6365432905858337E-4</v>
      </c>
      <c r="Z111" s="98" t="str">
        <f t="shared" si="71"/>
        <v>0.99999710225616-0.00248987300352383i</v>
      </c>
      <c r="AA111" s="160">
        <f t="shared" si="83"/>
        <v>1.0000002019941248</v>
      </c>
      <c r="AB111" s="160">
        <f t="shared" si="84"/>
        <v>-2.4898750732376559E-3</v>
      </c>
      <c r="AC111" s="171" t="str">
        <f t="shared" si="85"/>
        <v>0.00577987992198957-1.41392280445799i</v>
      </c>
      <c r="AD111" s="190">
        <f t="shared" si="86"/>
        <v>3.0085865527480293</v>
      </c>
      <c r="AE111" s="169">
        <f t="shared" si="87"/>
        <v>-89.765785741641025</v>
      </c>
      <c r="AF111" s="98" t="str">
        <f t="shared" si="72"/>
        <v>-0.0000119284294234592</v>
      </c>
      <c r="AG111" s="98" t="str">
        <f t="shared" si="73"/>
        <v>2.99597701773183E-06i</v>
      </c>
      <c r="AH111" s="98">
        <f t="shared" si="88"/>
        <v>2.9959770177318298E-6</v>
      </c>
      <c r="AI111" s="98">
        <f t="shared" si="89"/>
        <v>1.5707963267948966</v>
      </c>
      <c r="AJ111" s="98" t="str">
        <f t="shared" si="74"/>
        <v>1+0.00258734682207108i</v>
      </c>
      <c r="AK111" s="98">
        <f t="shared" si="90"/>
        <v>1.0000033471761871</v>
      </c>
      <c r="AL111" s="98">
        <f t="shared" si="91"/>
        <v>2.5873410485474937E-3</v>
      </c>
      <c r="AM111" s="98" t="str">
        <f t="shared" si="75"/>
        <v>1+6.58856107573028i</v>
      </c>
      <c r="AN111" s="98">
        <f t="shared" si="92"/>
        <v>6.664018085856922</v>
      </c>
      <c r="AO111" s="98">
        <f t="shared" si="93"/>
        <v>1.4201677547663503</v>
      </c>
      <c r="AP111" s="168" t="str">
        <f t="shared" si="94"/>
        <v>-26.2217621955159+4.04932707845042i</v>
      </c>
      <c r="AQ111" s="98">
        <f t="shared" si="95"/>
        <v>28.475590023563218</v>
      </c>
      <c r="AR111" s="169">
        <f t="shared" si="96"/>
        <v>171.22137482643924</v>
      </c>
      <c r="AS111" s="168" t="str">
        <f t="shared" si="97"/>
        <v>5.57387726209725+37.0989521655926i</v>
      </c>
      <c r="AT111" s="190">
        <f t="shared" si="98"/>
        <v>31.484176576311231</v>
      </c>
      <c r="AU111" s="169">
        <f t="shared" si="99"/>
        <v>81.45558908479822</v>
      </c>
      <c r="AV111" s="225"/>
      <c r="AX111">
        <f t="shared" si="100"/>
        <v>0</v>
      </c>
      <c r="AY111">
        <f t="shared" si="101"/>
        <v>0</v>
      </c>
    </row>
    <row r="112" spans="14:51" x14ac:dyDescent="0.2">
      <c r="N112" s="170">
        <v>94</v>
      </c>
      <c r="O112" s="199">
        <f t="shared" si="76"/>
        <v>87.096358995608071</v>
      </c>
      <c r="P112" s="189" t="str">
        <f t="shared" si="67"/>
        <v>771.276595744681</v>
      </c>
      <c r="Q112" s="160" t="str">
        <f t="shared" si="68"/>
        <v>1+558.187414413044i</v>
      </c>
      <c r="R112" s="160">
        <f t="shared" si="77"/>
        <v>558.188310168817</v>
      </c>
      <c r="S112" s="160">
        <f t="shared" si="78"/>
        <v>1.5690048157282883</v>
      </c>
      <c r="T112" s="160" t="str">
        <f t="shared" si="69"/>
        <v>1+0.00013133821515601i</v>
      </c>
      <c r="U112" s="160">
        <f t="shared" si="79"/>
        <v>1.0000000086248633</v>
      </c>
      <c r="V112" s="160">
        <f t="shared" si="80"/>
        <v>1.3133821440082725E-4</v>
      </c>
      <c r="W112" s="98" t="str">
        <f t="shared" si="70"/>
        <v>1-0.000372124942942029i</v>
      </c>
      <c r="X112" s="160">
        <f t="shared" si="81"/>
        <v>1.0000000692384843</v>
      </c>
      <c r="Y112" s="160">
        <f t="shared" si="82"/>
        <v>-3.7212492576511847E-4</v>
      </c>
      <c r="Z112" s="98" t="str">
        <f t="shared" si="71"/>
        <v>0.9999969656897-0.00254786959617496i</v>
      </c>
      <c r="AA112" s="160">
        <f t="shared" si="83"/>
        <v>1.0000002115140207</v>
      </c>
      <c r="AB112" s="160">
        <f t="shared" si="84"/>
        <v>-2.5478718139130448E-3</v>
      </c>
      <c r="AC112" s="171" t="str">
        <f t="shared" si="85"/>
        <v>0.00566321789650874-1.381738027259i</v>
      </c>
      <c r="AD112" s="190">
        <f t="shared" si="86"/>
        <v>2.8085871574098857</v>
      </c>
      <c r="AE112" s="169">
        <f t="shared" si="87"/>
        <v>-89.765167737578807</v>
      </c>
      <c r="AF112" s="98" t="str">
        <f t="shared" si="72"/>
        <v>-0.0000119284294234592</v>
      </c>
      <c r="AG112" s="98" t="str">
        <f t="shared" si="73"/>
        <v>3.06576228727917E-06i</v>
      </c>
      <c r="AH112" s="98">
        <f t="shared" si="88"/>
        <v>3.0657622872791698E-6</v>
      </c>
      <c r="AI112" s="98">
        <f t="shared" si="89"/>
        <v>1.5707963267948966</v>
      </c>
      <c r="AJ112" s="98" t="str">
        <f t="shared" si="74"/>
        <v>1+0.00264761387162521i</v>
      </c>
      <c r="AK112" s="98">
        <f t="shared" si="90"/>
        <v>1.0000035049234643</v>
      </c>
      <c r="AL112" s="98">
        <f t="shared" si="91"/>
        <v>2.6476076851843994E-3</v>
      </c>
      <c r="AM112" s="98" t="str">
        <f t="shared" si="75"/>
        <v>1+6.74202837800853i</v>
      </c>
      <c r="AN112" s="98">
        <f t="shared" si="92"/>
        <v>6.8157865760213117</v>
      </c>
      <c r="AO112" s="98">
        <f t="shared" si="93"/>
        <v>1.4235465707145489</v>
      </c>
      <c r="AP112" s="168" t="str">
        <f t="shared" si="94"/>
        <v>-26.2217539227223+3.96027776325879i</v>
      </c>
      <c r="AQ112" s="98">
        <f t="shared" si="95"/>
        <v>28.47118496882824</v>
      </c>
      <c r="AR112" s="169">
        <f t="shared" si="96"/>
        <v>171.41151369609776</v>
      </c>
      <c r="AS112" s="168" t="str">
        <f t="shared" si="97"/>
        <v>5.32356687790988+36.2540224523573i</v>
      </c>
      <c r="AT112" s="190">
        <f t="shared" si="98"/>
        <v>31.279772126238129</v>
      </c>
      <c r="AU112" s="169">
        <f t="shared" si="99"/>
        <v>81.646345958518936</v>
      </c>
      <c r="AV112" s="225"/>
      <c r="AX112">
        <f t="shared" si="100"/>
        <v>0</v>
      </c>
      <c r="AY112">
        <f t="shared" si="101"/>
        <v>0</v>
      </c>
    </row>
    <row r="113" spans="14:51" x14ac:dyDescent="0.2">
      <c r="N113" s="170">
        <v>95</v>
      </c>
      <c r="O113" s="199">
        <f t="shared" si="76"/>
        <v>89.125093813374562</v>
      </c>
      <c r="P113" s="189" t="str">
        <f t="shared" si="67"/>
        <v>771.276595744681</v>
      </c>
      <c r="Q113" s="160" t="str">
        <f t="shared" si="68"/>
        <v>1+571.189269548181i</v>
      </c>
      <c r="R113" s="160">
        <f t="shared" si="77"/>
        <v>571.19014491409473</v>
      </c>
      <c r="S113" s="160">
        <f t="shared" si="78"/>
        <v>1.5690455954145539</v>
      </c>
      <c r="T113" s="160" t="str">
        <f t="shared" si="69"/>
        <v>1+0.000134397475187807i</v>
      </c>
      <c r="U113" s="160">
        <f t="shared" si="79"/>
        <v>1.0000000090313406</v>
      </c>
      <c r="V113" s="160">
        <f t="shared" si="80"/>
        <v>1.343974743786141E-4</v>
      </c>
      <c r="W113" s="98" t="str">
        <f t="shared" si="70"/>
        <v>1-0.000380792846365453i</v>
      </c>
      <c r="X113" s="160">
        <f t="shared" si="81"/>
        <v>1.0000000725015934</v>
      </c>
      <c r="Y113" s="160">
        <f t="shared" si="82"/>
        <v>-3.8079282796006186E-4</v>
      </c>
      <c r="Z113" s="98" t="str">
        <f t="shared" si="71"/>
        <v>0.999996822687061-0.00260721710301103i</v>
      </c>
      <c r="AA113" s="160">
        <f t="shared" si="83"/>
        <v>1.0000002214825952</v>
      </c>
      <c r="AB113" s="160">
        <f t="shared" si="84"/>
        <v>-2.6072194793599368E-3</v>
      </c>
      <c r="AC113" s="171" t="str">
        <f t="shared" si="85"/>
        <v>0.00555180649346611-1.35028584703331i</v>
      </c>
      <c r="AD113" s="190">
        <f t="shared" si="86"/>
        <v>2.6085877300432978</v>
      </c>
      <c r="AE113" s="169">
        <f t="shared" si="87"/>
        <v>-89.764425222265487</v>
      </c>
      <c r="AF113" s="98" t="str">
        <f t="shared" si="72"/>
        <v>-0.0000119284294234592</v>
      </c>
      <c r="AG113" s="98" t="str">
        <f t="shared" si="73"/>
        <v>3.13717306457139E-06i</v>
      </c>
      <c r="AH113" s="98">
        <f t="shared" si="88"/>
        <v>3.1371730645713901E-6</v>
      </c>
      <c r="AI113" s="98">
        <f t="shared" si="89"/>
        <v>1.5707963267948966</v>
      </c>
      <c r="AJ113" s="98" t="str">
        <f t="shared" si="74"/>
        <v>1+0.00270928472109939i</v>
      </c>
      <c r="AK113" s="98">
        <f t="shared" si="90"/>
        <v>1.0000036701051151</v>
      </c>
      <c r="AL113" s="98">
        <f t="shared" si="91"/>
        <v>2.7092780922099444E-3</v>
      </c>
      <c r="AM113" s="98" t="str">
        <f t="shared" si="75"/>
        <v>1+6.8990703929741i</v>
      </c>
      <c r="AN113" s="98">
        <f t="shared" si="92"/>
        <v>6.9711672112503376</v>
      </c>
      <c r="AO113" s="98">
        <f t="shared" si="93"/>
        <v>1.4268517511012406</v>
      </c>
      <c r="AP113" s="168" t="str">
        <f t="shared" si="94"/>
        <v>-26.2217452600496+3.87332823769264i</v>
      </c>
      <c r="AQ113" s="98">
        <f t="shared" si="95"/>
        <v>28.466973875528868</v>
      </c>
      <c r="AR113" s="169">
        <f t="shared" si="96"/>
        <v>171.59735312874119</v>
      </c>
      <c r="AS113" s="168" t="str">
        <f t="shared" si="97"/>
        <v>5.08452224466609+35.4283554780191i</v>
      </c>
      <c r="AT113" s="190">
        <f t="shared" si="98"/>
        <v>31.075561605572169</v>
      </c>
      <c r="AU113" s="169">
        <f t="shared" si="99"/>
        <v>81.832927906475717</v>
      </c>
      <c r="AV113" s="225"/>
      <c r="AX113">
        <f t="shared" si="100"/>
        <v>0</v>
      </c>
      <c r="AY113">
        <f t="shared" si="101"/>
        <v>0</v>
      </c>
    </row>
    <row r="114" spans="14:51" x14ac:dyDescent="0.2">
      <c r="N114" s="170">
        <v>96</v>
      </c>
      <c r="O114" s="199">
        <f t="shared" si="76"/>
        <v>91.201083935590972</v>
      </c>
      <c r="P114" s="189" t="str">
        <f t="shared" si="67"/>
        <v>771.276595744681</v>
      </c>
      <c r="Q114" s="160" t="str">
        <f t="shared" si="68"/>
        <v>1+584.493976794616i</v>
      </c>
      <c r="R114" s="160">
        <f t="shared" si="77"/>
        <v>584.49483223479842</v>
      </c>
      <c r="S114" s="160">
        <f t="shared" si="78"/>
        <v>1.5690854468474582</v>
      </c>
      <c r="T114" s="160" t="str">
        <f t="shared" si="69"/>
        <v>1+0.00013752799453991i</v>
      </c>
      <c r="U114" s="160">
        <f t="shared" si="79"/>
        <v>1.0000000094569745</v>
      </c>
      <c r="V114" s="160">
        <f t="shared" si="80"/>
        <v>1.3752799367284418E-4</v>
      </c>
      <c r="W114" s="98" t="str">
        <f t="shared" si="70"/>
        <v>1-0.00038966265119641i</v>
      </c>
      <c r="X114" s="160">
        <f t="shared" si="81"/>
        <v>1.0000000759184879</v>
      </c>
      <c r="Y114" s="160">
        <f t="shared" si="82"/>
        <v>-3.8966263147467814E-4</v>
      </c>
      <c r="Z114" s="98" t="str">
        <f t="shared" si="71"/>
        <v>0.999996672944916-0.00266794699086572i</v>
      </c>
      <c r="AA114" s="160">
        <f t="shared" si="83"/>
        <v>1.0000002319209969</v>
      </c>
      <c r="AB114" s="160">
        <f t="shared" si="84"/>
        <v>-2.6679495371691505E-3</v>
      </c>
      <c r="AC114" s="171" t="str">
        <f t="shared" si="85"/>
        <v>0.00544540939879017-1.31954958867467i</v>
      </c>
      <c r="AD114" s="190">
        <f t="shared" si="86"/>
        <v>2.4085882718628886</v>
      </c>
      <c r="AE114" s="169">
        <f t="shared" si="87"/>
        <v>-89.763557801939641</v>
      </c>
      <c r="AF114" s="98" t="str">
        <f t="shared" si="72"/>
        <v>-0.0000119284294234592</v>
      </c>
      <c r="AG114" s="98" t="str">
        <f t="shared" si="73"/>
        <v>3.21024721254784E-06i</v>
      </c>
      <c r="AH114" s="98">
        <f t="shared" si="88"/>
        <v>3.2102472125478401E-6</v>
      </c>
      <c r="AI114" s="98">
        <f t="shared" si="89"/>
        <v>1.5707963267948966</v>
      </c>
      <c r="AJ114" s="98" t="str">
        <f t="shared" si="74"/>
        <v>1+0.00277239206919433i</v>
      </c>
      <c r="AK114" s="98">
        <f t="shared" si="90"/>
        <v>1.0000038430715081</v>
      </c>
      <c r="AL114" s="98">
        <f t="shared" si="91"/>
        <v>2.7723849662127913E-3</v>
      </c>
      <c r="AM114" s="98" t="str">
        <f t="shared" si="75"/>
        <v>1+7.05977038638203i</v>
      </c>
      <c r="AN114" s="98">
        <f t="shared" si="92"/>
        <v>7.1302424859493154</v>
      </c>
      <c r="AO114" s="98">
        <f t="shared" si="93"/>
        <v>1.4300847593745885</v>
      </c>
      <c r="AP114" s="168" t="str">
        <f t="shared" si="94"/>
        <v>-26.2217361891239+3.78843239981493i</v>
      </c>
      <c r="AQ114" s="98">
        <f t="shared" si="95"/>
        <v>28.462948367753729</v>
      </c>
      <c r="AR114" s="169">
        <f t="shared" si="96"/>
        <v>171.77897510039628</v>
      </c>
      <c r="AS114" s="168" t="str">
        <f t="shared" si="97"/>
        <v>4.85623632620073+34.6215107680908i</v>
      </c>
      <c r="AT114" s="190">
        <f t="shared" si="98"/>
        <v>30.871536639616618</v>
      </c>
      <c r="AU114" s="169">
        <f t="shared" si="99"/>
        <v>82.01541729845664</v>
      </c>
      <c r="AV114" s="225"/>
      <c r="AX114">
        <f t="shared" si="100"/>
        <v>0</v>
      </c>
      <c r="AY114">
        <f t="shared" si="101"/>
        <v>0</v>
      </c>
    </row>
    <row r="115" spans="14:51" x14ac:dyDescent="0.2">
      <c r="N115" s="170">
        <v>97</v>
      </c>
      <c r="O115" s="199">
        <f t="shared" si="76"/>
        <v>93.325430079699174</v>
      </c>
      <c r="P115" s="189" t="str">
        <f t="shared" si="67"/>
        <v>771.276595744681</v>
      </c>
      <c r="Q115" s="160" t="str">
        <f t="shared" si="68"/>
        <v>1+598.108590484242i</v>
      </c>
      <c r="R115" s="160">
        <f t="shared" si="77"/>
        <v>598.109426452256</v>
      </c>
      <c r="S115" s="160">
        <f t="shared" si="78"/>
        <v>1.5691243911562518</v>
      </c>
      <c r="T115" s="160" t="str">
        <f t="shared" si="69"/>
        <v>1+0.000140731433055116i</v>
      </c>
      <c r="U115" s="160">
        <f t="shared" si="79"/>
        <v>1.000000009902668</v>
      </c>
      <c r="V115" s="160">
        <f t="shared" si="80"/>
        <v>1.4073143212603822E-4</v>
      </c>
      <c r="W115" s="98" t="str">
        <f t="shared" si="70"/>
        <v>1-0.000398739060322827i</v>
      </c>
      <c r="X115" s="160">
        <f t="shared" si="81"/>
        <v>1.0000000794964159</v>
      </c>
      <c r="Y115" s="160">
        <f t="shared" si="82"/>
        <v>-3.9873903919061067E-4</v>
      </c>
      <c r="Z115" s="98" t="str">
        <f t="shared" si="71"/>
        <v>0.99999651614564-0.00273009145952942i</v>
      </c>
      <c r="AA115" s="160">
        <f t="shared" si="83"/>
        <v>1.0000002428513679</v>
      </c>
      <c r="AB115" s="160">
        <f t="shared" si="84"/>
        <v>-2.7300941879423706E-3</v>
      </c>
      <c r="AC115" s="171" t="str">
        <f t="shared" si="85"/>
        <v>0.00534380093403801-1.28951295658424i</v>
      </c>
      <c r="AD115" s="190">
        <f t="shared" si="86"/>
        <v>2.2085887840178704</v>
      </c>
      <c r="AE115" s="169">
        <f t="shared" si="87"/>
        <v>-89.762565016612925</v>
      </c>
      <c r="AF115" s="98" t="str">
        <f t="shared" si="72"/>
        <v>-0.0000119284294234592</v>
      </c>
      <c r="AG115" s="98" t="str">
        <f t="shared" si="73"/>
        <v>3.28502347608904E-06i</v>
      </c>
      <c r="AH115" s="98">
        <f t="shared" si="88"/>
        <v>3.28502347608904E-6</v>
      </c>
      <c r="AI115" s="98">
        <f t="shared" si="89"/>
        <v>1.5707963267948966</v>
      </c>
      <c r="AJ115" s="98" t="str">
        <f t="shared" si="74"/>
        <v>1+0.0028369693762613i</v>
      </c>
      <c r="AK115" s="98">
        <f t="shared" si="90"/>
        <v>1.0000040241895238</v>
      </c>
      <c r="AL115" s="98">
        <f t="shared" si="91"/>
        <v>2.8369617652811104E-3</v>
      </c>
      <c r="AM115" s="98" t="str">
        <f t="shared" si="75"/>
        <v>1+7.22421356349594i</v>
      </c>
      <c r="AN115" s="98">
        <f t="shared" si="92"/>
        <v>7.293096846401995</v>
      </c>
      <c r="AO115" s="98">
        <f t="shared" si="93"/>
        <v>1.4332470392371246</v>
      </c>
      <c r="AP115" s="168" t="str">
        <f t="shared" si="94"/>
        <v>-26.2217266907053+3.70554523657041i</v>
      </c>
      <c r="AQ115" s="98">
        <f t="shared" si="95"/>
        <v>28.459100415570955</v>
      </c>
      <c r="AR115" s="169">
        <f t="shared" si="96"/>
        <v>171.95646041211774</v>
      </c>
      <c r="AS115" s="168" t="str">
        <f t="shared" si="97"/>
        <v>4.63822490618468+33.8330580077716i</v>
      </c>
      <c r="AT115" s="190">
        <f t="shared" si="98"/>
        <v>30.667689199588825</v>
      </c>
      <c r="AU115" s="169">
        <f t="shared" si="99"/>
        <v>82.193895395504839</v>
      </c>
      <c r="AV115" s="225"/>
      <c r="AX115">
        <f t="shared" si="100"/>
        <v>0</v>
      </c>
      <c r="AY115">
        <f t="shared" si="101"/>
        <v>0</v>
      </c>
    </row>
    <row r="116" spans="14:51" x14ac:dyDescent="0.2">
      <c r="N116" s="170">
        <v>98</v>
      </c>
      <c r="O116" s="199">
        <f t="shared" si="76"/>
        <v>95.499258602143655</v>
      </c>
      <c r="P116" s="189" t="str">
        <f t="shared" si="67"/>
        <v>771.276595744681</v>
      </c>
      <c r="Q116" s="160" t="str">
        <f t="shared" si="68"/>
        <v>1+612.040329265444i</v>
      </c>
      <c r="R116" s="160">
        <f t="shared" si="77"/>
        <v>612.04114620452867</v>
      </c>
      <c r="S116" s="160">
        <f t="shared" si="78"/>
        <v>1.5691624489892497</v>
      </c>
      <c r="T116" s="160" t="str">
        <f t="shared" si="69"/>
        <v>1+0.000144009489238928i</v>
      </c>
      <c r="U116" s="160">
        <f t="shared" si="79"/>
        <v>1.0000000103693665</v>
      </c>
      <c r="V116" s="160">
        <f t="shared" si="80"/>
        <v>1.4400948824340324E-4</v>
      </c>
      <c r="W116" s="98" t="str">
        <f t="shared" si="70"/>
        <v>1-0.000408026886176962i</v>
      </c>
      <c r="X116" s="160">
        <f t="shared" si="81"/>
        <v>1.0000000832429665</v>
      </c>
      <c r="Y116" s="160">
        <f t="shared" si="82"/>
        <v>-4.0802686353338442E-4</v>
      </c>
      <c r="Z116" s="98" t="str">
        <f t="shared" si="71"/>
        <v>0.999996351956643-0.00279368345882199i</v>
      </c>
      <c r="AA116" s="160">
        <f t="shared" si="83"/>
        <v>1.0000002542968989</v>
      </c>
      <c r="AB116" s="160">
        <f t="shared" si="84"/>
        <v>-2.7936863823687626E-3</v>
      </c>
      <c r="AC116" s="171" t="str">
        <f t="shared" si="85"/>
        <v>0.00524676557773563-1.26016002603605i</v>
      </c>
      <c r="AD116" s="190">
        <f t="shared" si="86"/>
        <v>2.0085892675945329</v>
      </c>
      <c r="AE116" s="169">
        <f t="shared" si="87"/>
        <v>-89.761446339825667</v>
      </c>
      <c r="AF116" s="98" t="str">
        <f t="shared" si="72"/>
        <v>-0.0000119284294234592</v>
      </c>
      <c r="AG116" s="98" t="str">
        <f t="shared" si="73"/>
        <v>3.36154150255967E-06i</v>
      </c>
      <c r="AH116" s="98">
        <f t="shared" si="88"/>
        <v>3.3615415025596702E-6</v>
      </c>
      <c r="AI116" s="98">
        <f t="shared" si="89"/>
        <v>1.5707963267948966</v>
      </c>
      <c r="AJ116" s="98" t="str">
        <f t="shared" si="74"/>
        <v>1+0.00290305088204329i</v>
      </c>
      <c r="AK116" s="98">
        <f t="shared" si="90"/>
        <v>1.0000042138433336</v>
      </c>
      <c r="AL116" s="98">
        <f t="shared" si="91"/>
        <v>2.9030427267329414E-3</v>
      </c>
      <c r="AM116" s="98" t="str">
        <f t="shared" si="75"/>
        <v>1+7.39248711426496i</v>
      </c>
      <c r="AN116" s="98">
        <f t="shared" si="92"/>
        <v>7.4598167359911383</v>
      </c>
      <c r="AO116" s="98">
        <f t="shared" si="93"/>
        <v>1.4363400142560689</v>
      </c>
      <c r="AP116" s="168" t="str">
        <f t="shared" si="94"/>
        <v>-26.2217167446475+3.62462279991847i</v>
      </c>
      <c r="AQ116" s="98">
        <f t="shared" si="95"/>
        <v>28.45542232202871</v>
      </c>
      <c r="AR116" s="169">
        <f t="shared" si="96"/>
        <v>172.12988866664529</v>
      </c>
      <c r="AS116" s="168" t="str">
        <f t="shared" si="97"/>
        <v>4.43002556111117+33.0625768017838i</v>
      </c>
      <c r="AT116" s="190">
        <f t="shared" si="98"/>
        <v>30.464011589623247</v>
      </c>
      <c r="AU116" s="169">
        <f t="shared" si="99"/>
        <v>82.368442326819633</v>
      </c>
      <c r="AV116" s="225"/>
      <c r="AX116">
        <f t="shared" si="100"/>
        <v>0</v>
      </c>
      <c r="AY116">
        <f t="shared" si="101"/>
        <v>0</v>
      </c>
    </row>
    <row r="117" spans="14:51" x14ac:dyDescent="0.2">
      <c r="N117" s="170">
        <v>99</v>
      </c>
      <c r="O117" s="199">
        <f t="shared" si="76"/>
        <v>97.723722095581124</v>
      </c>
      <c r="P117" s="189" t="str">
        <f t="shared" si="67"/>
        <v>771.276595744681</v>
      </c>
      <c r="Q117" s="160" t="str">
        <f t="shared" si="68"/>
        <v>1+626.296579930533i</v>
      </c>
      <c r="R117" s="160">
        <f t="shared" si="77"/>
        <v>626.29737827383769</v>
      </c>
      <c r="S117" s="160">
        <f t="shared" si="78"/>
        <v>1.5691996405247777</v>
      </c>
      <c r="T117" s="160" t="str">
        <f t="shared" si="69"/>
        <v>1+0.000147363901160125i</v>
      </c>
      <c r="U117" s="160">
        <f t="shared" si="79"/>
        <v>1.0000000108580596</v>
      </c>
      <c r="V117" s="160">
        <f t="shared" si="80"/>
        <v>1.4736390009340098E-4</v>
      </c>
      <c r="W117" s="98" t="str">
        <f t="shared" si="70"/>
        <v>1-0.000417531053287021i</v>
      </c>
      <c r="X117" s="160">
        <f t="shared" si="81"/>
        <v>1.0000000871660863</v>
      </c>
      <c r="Y117" s="160">
        <f t="shared" si="82"/>
        <v>-4.1753102902399058E-4</v>
      </c>
      <c r="Z117" s="98" t="str">
        <f t="shared" si="71"/>
        <v>0.999996180029656-0.0028587567060632i</v>
      </c>
      <c r="AA117" s="160">
        <f t="shared" si="83"/>
        <v>1.0000002662818688</v>
      </c>
      <c r="AB117" s="160">
        <f t="shared" si="84"/>
        <v>-2.8587598386995874E-3</v>
      </c>
      <c r="AC117" s="171" t="str">
        <f t="shared" si="85"/>
        <v>0.00515409750825936-1.23147523473874i</v>
      </c>
      <c r="AD117" s="190">
        <f t="shared" si="86"/>
        <v>1.8085897236186805</v>
      </c>
      <c r="AE117" s="169">
        <f t="shared" si="87"/>
        <v>-89.760201178367609</v>
      </c>
      <c r="AF117" s="98" t="str">
        <f t="shared" si="72"/>
        <v>-0.0000119284294234592</v>
      </c>
      <c r="AG117" s="98" t="str">
        <f t="shared" si="73"/>
        <v>3.43984186283023E-06i</v>
      </c>
      <c r="AH117" s="98">
        <f t="shared" si="88"/>
        <v>3.43984186283023E-6</v>
      </c>
      <c r="AI117" s="98">
        <f t="shared" si="89"/>
        <v>1.5707963267948966</v>
      </c>
      <c r="AJ117" s="98" t="str">
        <f t="shared" si="74"/>
        <v>1+0.00297067162382935i</v>
      </c>
      <c r="AK117" s="98">
        <f t="shared" si="90"/>
        <v>1.0000044124352134</v>
      </c>
      <c r="AL117" s="98">
        <f t="shared" si="91"/>
        <v>2.9706628852589536E-3</v>
      </c>
      <c r="AM117" s="98" t="str">
        <f t="shared" si="75"/>
        <v>1+7.5646802595531i</v>
      </c>
      <c r="AN117" s="98">
        <f t="shared" si="92"/>
        <v>7.6304906414510691</v>
      </c>
      <c r="AO117" s="98">
        <f t="shared" si="93"/>
        <v>1.4393650875316313</v>
      </c>
      <c r="AP117" s="168" t="str">
        <f t="shared" si="94"/>
        <v>-26.2217063298543+3.54562218353031i</v>
      </c>
      <c r="AQ117" s="98">
        <f t="shared" si="95"/>
        <v>28.451906710526988</v>
      </c>
      <c r="AR117" s="169">
        <f t="shared" si="96"/>
        <v>172.29933824835928</v>
      </c>
      <c r="AS117" s="168" t="str">
        <f t="shared" si="97"/>
        <v>4.23119667950086+32.309656440269i</v>
      </c>
      <c r="AT117" s="190">
        <f t="shared" si="98"/>
        <v>30.260496434145672</v>
      </c>
      <c r="AU117" s="169">
        <f t="shared" si="99"/>
        <v>82.539137069991682</v>
      </c>
      <c r="AV117" s="225"/>
      <c r="AX117">
        <f t="shared" si="100"/>
        <v>0</v>
      </c>
      <c r="AY117">
        <f t="shared" si="101"/>
        <v>0</v>
      </c>
    </row>
    <row r="118" spans="14:51" x14ac:dyDescent="0.2">
      <c r="N118" s="170">
        <v>100</v>
      </c>
      <c r="O118" s="199">
        <f t="shared" si="76"/>
        <v>100</v>
      </c>
      <c r="P118" s="189" t="str">
        <f t="shared" si="67"/>
        <v>771.276595744681</v>
      </c>
      <c r="Q118" s="160" t="str">
        <f t="shared" si="68"/>
        <v>1+640.884901332318i</v>
      </c>
      <c r="R118" s="160">
        <f t="shared" si="77"/>
        <v>640.8856815031329</v>
      </c>
      <c r="S118" s="160">
        <f t="shared" si="78"/>
        <v>1.5692359854818683</v>
      </c>
      <c r="T118" s="160" t="str">
        <f t="shared" si="69"/>
        <v>1+0.00015079644737231i</v>
      </c>
      <c r="U118" s="160">
        <f t="shared" si="79"/>
        <v>1.0000000113697842</v>
      </c>
      <c r="V118" s="160">
        <f t="shared" si="80"/>
        <v>1.5079644622929464E-4</v>
      </c>
      <c r="W118" s="98" t="str">
        <f t="shared" si="70"/>
        <v>1-0.000427256600888211i</v>
      </c>
      <c r="X118" s="160">
        <f t="shared" si="81"/>
        <v>1.0000000912740974</v>
      </c>
      <c r="Y118" s="160">
        <f t="shared" si="82"/>
        <v>-4.2725657488990558E-4</v>
      </c>
      <c r="Z118" s="98" t="str">
        <f t="shared" si="71"/>
        <v>0.999996-0.00292534570395009i</v>
      </c>
      <c r="AA118" s="160">
        <f t="shared" si="83"/>
        <v>1.0000002788317051</v>
      </c>
      <c r="AB118" s="160">
        <f t="shared" si="84"/>
        <v>-2.9253490606299835E-3</v>
      </c>
      <c r="AC118" s="171" t="str">
        <f t="shared" si="85"/>
        <v>0.00506560016728928-1.20344337458905i</v>
      </c>
      <c r="AD118" s="190">
        <f t="shared" si="86"/>
        <v>1.6085901530574445</v>
      </c>
      <c r="AE118" s="169">
        <f t="shared" si="87"/>
        <v>-89.75882887196282</v>
      </c>
      <c r="AF118" s="98" t="str">
        <f t="shared" si="72"/>
        <v>-0.0000119284294234592</v>
      </c>
      <c r="AG118" s="98" t="str">
        <f t="shared" si="73"/>
        <v>3.51996607278815E-06i</v>
      </c>
      <c r="AH118" s="98">
        <f t="shared" si="88"/>
        <v>3.5199660727881501E-6</v>
      </c>
      <c r="AI118" s="98">
        <f t="shared" si="89"/>
        <v>1.5707963267948966</v>
      </c>
      <c r="AJ118" s="98" t="str">
        <f t="shared" si="74"/>
        <v>1+0.00303986745503187i</v>
      </c>
      <c r="AK118" s="98">
        <f t="shared" si="90"/>
        <v>1.0000046203863981</v>
      </c>
      <c r="AL118" s="98">
        <f t="shared" si="91"/>
        <v>3.0398580914873267E-3</v>
      </c>
      <c r="AM118" s="98" t="str">
        <f t="shared" si="75"/>
        <v>1+7.74088429844525i</v>
      </c>
      <c r="AN118" s="98">
        <f t="shared" si="92"/>
        <v>7.8052091401778743</v>
      </c>
      <c r="AO118" s="98">
        <f t="shared" si="93"/>
        <v>1.4423236414193985</v>
      </c>
      <c r="AP118" s="168" t="str">
        <f t="shared" si="94"/>
        <v>-26.2216954242362+3.46850150003876i</v>
      </c>
      <c r="AQ118" s="98">
        <f t="shared" si="95"/>
        <v>28.448546512561869</v>
      </c>
      <c r="AR118" s="169">
        <f t="shared" si="96"/>
        <v>172.46488630631097</v>
      </c>
      <c r="AS118" s="168" t="str">
        <f t="shared" si="97"/>
        <v>4.04131652524621+31.5738956705679i</v>
      </c>
      <c r="AT118" s="190">
        <f t="shared" si="98"/>
        <v>30.057136665619314</v>
      </c>
      <c r="AU118" s="169">
        <f t="shared" si="99"/>
        <v>82.706057434348168</v>
      </c>
      <c r="AV118" s="225"/>
      <c r="AX118">
        <f t="shared" si="100"/>
        <v>0</v>
      </c>
      <c r="AY118">
        <f t="shared" si="101"/>
        <v>0</v>
      </c>
    </row>
    <row r="119" spans="14:51" x14ac:dyDescent="0.2">
      <c r="N119" s="170">
        <v>1</v>
      </c>
      <c r="O119" s="199">
        <f>10^(2+(N119/100))</f>
        <v>102.32929922807544</v>
      </c>
      <c r="P119" s="189" t="str">
        <f t="shared" si="67"/>
        <v>771.276595744681</v>
      </c>
      <c r="Q119" s="160" t="str">
        <f t="shared" si="68"/>
        <v>1+655.813028391904i</v>
      </c>
      <c r="R119" s="160">
        <f t="shared" si="77"/>
        <v>655.81379080388376</v>
      </c>
      <c r="S119" s="160">
        <f t="shared" si="78"/>
        <v>1.5692715031307147</v>
      </c>
      <c r="T119" s="160" t="str">
        <f t="shared" si="69"/>
        <v>1+0.000154308947856918i</v>
      </c>
      <c r="U119" s="160">
        <f t="shared" si="79"/>
        <v>1.0000000119056256</v>
      </c>
      <c r="V119" s="160">
        <f t="shared" si="80"/>
        <v>1.5430894663215499E-4</v>
      </c>
      <c r="W119" s="98" t="str">
        <f t="shared" si="70"/>
        <v>1-0.000437208685594602i</v>
      </c>
      <c r="X119" s="160">
        <f t="shared" si="81"/>
        <v>1.0000000955757127</v>
      </c>
      <c r="Y119" s="160">
        <f t="shared" si="82"/>
        <v>-4.37208657736916E-4</v>
      </c>
      <c r="Z119" s="98" t="str">
        <f t="shared" si="71"/>
        <v>0.999995811485808-0.00299348575885073i</v>
      </c>
      <c r="AA119" s="160">
        <f t="shared" si="83"/>
        <v>1.0000002919730313</v>
      </c>
      <c r="AB119" s="160">
        <f t="shared" si="84"/>
        <v>-2.9934893555975074E-3</v>
      </c>
      <c r="AC119" s="171" t="str">
        <f t="shared" si="85"/>
        <v>0.00498108584290885-1.17604958361289i</v>
      </c>
      <c r="AD119" s="190">
        <f t="shared" si="86"/>
        <v>1.4085905568217629</v>
      </c>
      <c r="AE119" s="169">
        <f t="shared" si="87"/>
        <v>-89.757328692919401</v>
      </c>
      <c r="AF119" s="98" t="str">
        <f t="shared" si="72"/>
        <v>-0.0000119284294234592</v>
      </c>
      <c r="AG119" s="98" t="str">
        <f t="shared" si="73"/>
        <v>3.60195661535012E-06i</v>
      </c>
      <c r="AH119" s="98">
        <f t="shared" si="88"/>
        <v>3.6019566153501201E-6</v>
      </c>
      <c r="AI119" s="98">
        <f t="shared" si="89"/>
        <v>1.5707963267948966</v>
      </c>
      <c r="AJ119" s="98" t="str">
        <f t="shared" si="74"/>
        <v>1+0.00311067506419644i</v>
      </c>
      <c r="AK119" s="98">
        <f t="shared" si="90"/>
        <v>1.0000048381379738</v>
      </c>
      <c r="AL119" s="98">
        <f t="shared" si="91"/>
        <v>3.110665030980318E-3</v>
      </c>
      <c r="AM119" s="98" t="str">
        <f t="shared" si="75"/>
        <v>1+7.92119265665514i</v>
      </c>
      <c r="AN119" s="98">
        <f t="shared" si="92"/>
        <v>7.9840649486240602</v>
      </c>
      <c r="AO119" s="98">
        <f t="shared" si="93"/>
        <v>1.445217037303107</v>
      </c>
      <c r="AP119" s="168" t="str">
        <f t="shared" si="94"/>
        <v>-26.2216840046616+3.39321985882801i</v>
      </c>
      <c r="AQ119" s="98">
        <f t="shared" si="95"/>
        <v>28.445334955839456</v>
      </c>
      <c r="AR119" s="169">
        <f t="shared" si="96"/>
        <v>172.62660874011476</v>
      </c>
      <c r="AS119" s="168" t="str">
        <f t="shared" si="97"/>
        <v>3.85998234310882+30.8549024747117i</v>
      </c>
      <c r="AT119" s="190">
        <f t="shared" si="98"/>
        <v>29.853925512661206</v>
      </c>
      <c r="AU119" s="169">
        <f t="shared" si="99"/>
        <v>82.869280047195375</v>
      </c>
      <c r="AV119" s="225"/>
      <c r="AX119">
        <f t="shared" si="100"/>
        <v>0</v>
      </c>
      <c r="AY119">
        <f t="shared" si="101"/>
        <v>0</v>
      </c>
    </row>
    <row r="120" spans="14:51" x14ac:dyDescent="0.2">
      <c r="N120" s="170">
        <v>2</v>
      </c>
      <c r="O120" s="199">
        <f t="shared" ref="O120:O183" si="102">10^(2+(N120/100))</f>
        <v>104.71285480508998</v>
      </c>
      <c r="P120" s="189" t="str">
        <f t="shared" si="67"/>
        <v>771.276595744681</v>
      </c>
      <c r="Q120" s="160" t="str">
        <f t="shared" si="68"/>
        <v>1+671.088876199854i</v>
      </c>
      <c r="R120" s="160">
        <f t="shared" si="77"/>
        <v>671.08962125723792</v>
      </c>
      <c r="S120" s="160">
        <f t="shared" si="78"/>
        <v>1.5693062123028856</v>
      </c>
      <c r="T120" s="160" t="str">
        <f t="shared" si="69"/>
        <v>1+0.000157903264988201i</v>
      </c>
      <c r="U120" s="160">
        <f t="shared" si="79"/>
        <v>1.0000000124667205</v>
      </c>
      <c r="V120" s="160">
        <f t="shared" si="80"/>
        <v>1.5790326367584376E-4</v>
      </c>
      <c r="W120" s="98" t="str">
        <f t="shared" si="70"/>
        <v>1-0.000447392584133236i</v>
      </c>
      <c r="X120" s="160">
        <f t="shared" si="81"/>
        <v>1.0000001000800571</v>
      </c>
      <c r="Y120" s="160">
        <f t="shared" si="82"/>
        <v>-4.4739255428318783E-4</v>
      </c>
      <c r="Z120" s="98" t="str">
        <f t="shared" si="71"/>
        <v>0.999995614087215-0.00306321299952419i</v>
      </c>
      <c r="AA120" s="160">
        <f t="shared" si="83"/>
        <v>1.0000003057337266</v>
      </c>
      <c r="AB120" s="160">
        <f t="shared" si="84"/>
        <v>-3.063216853507206E-3</v>
      </c>
      <c r="AC120" s="171" t="str">
        <f t="shared" si="85"/>
        <v>0.00490037527146661-1.14927933808952i</v>
      </c>
      <c r="AD120" s="190">
        <f t="shared" si="86"/>
        <v>1.2085909357679596</v>
      </c>
      <c r="AE120" s="169">
        <f t="shared" si="87"/>
        <v>-89.755699845743223</v>
      </c>
      <c r="AF120" s="98" t="str">
        <f t="shared" si="72"/>
        <v>-0.0000119284294234592</v>
      </c>
      <c r="AG120" s="98" t="str">
        <f t="shared" si="73"/>
        <v>3.68585696298708E-06i</v>
      </c>
      <c r="AH120" s="98">
        <f t="shared" si="88"/>
        <v>3.6858569629870802E-6</v>
      </c>
      <c r="AI120" s="98">
        <f t="shared" si="89"/>
        <v>1.5707963267948966</v>
      </c>
      <c r="AJ120" s="98" t="str">
        <f t="shared" si="74"/>
        <v>1+0.0031831319944547i</v>
      </c>
      <c r="AK120" s="98">
        <f t="shared" si="90"/>
        <v>1.0000050661518141</v>
      </c>
      <c r="AL120" s="98">
        <f t="shared" si="91"/>
        <v>3.1831212436728737E-3</v>
      </c>
      <c r="AM120" s="98" t="str">
        <f t="shared" si="75"/>
        <v>1+8.10570093606098i</v>
      </c>
      <c r="AN120" s="98">
        <f t="shared" si="92"/>
        <v>8.1671529718047928</v>
      </c>
      <c r="AO120" s="98">
        <f t="shared" si="93"/>
        <v>1.448046615414285</v>
      </c>
      <c r="AP120" s="168" t="str">
        <f t="shared" si="94"/>
        <v>-26.2216720469098+3.31973734435187i</v>
      </c>
      <c r="AQ120" s="98">
        <f t="shared" si="95"/>
        <v>28.44226555275953</v>
      </c>
      <c r="AR120" s="169">
        <f t="shared" si="96"/>
        <v>172.78458018850108</v>
      </c>
      <c r="AS120" s="168" t="str">
        <f t="shared" si="97"/>
        <v>3.68680950447259+30.152293852463i</v>
      </c>
      <c r="AT120" s="190">
        <f t="shared" si="98"/>
        <v>29.650856488527495</v>
      </c>
      <c r="AU120" s="169">
        <f t="shared" si="99"/>
        <v>83.028880342757887</v>
      </c>
      <c r="AV120" s="225"/>
      <c r="AX120">
        <f t="shared" si="100"/>
        <v>0</v>
      </c>
      <c r="AY120">
        <f t="shared" si="101"/>
        <v>0</v>
      </c>
    </row>
    <row r="121" spans="14:51" x14ac:dyDescent="0.2">
      <c r="N121" s="170">
        <v>3</v>
      </c>
      <c r="O121" s="199">
        <f t="shared" si="102"/>
        <v>107.15193052376065</v>
      </c>
      <c r="P121" s="189" t="str">
        <f t="shared" si="67"/>
        <v>771.276595744681</v>
      </c>
      <c r="Q121" s="160" t="str">
        <f t="shared" si="68"/>
        <v>1+686.720544212877i</v>
      </c>
      <c r="R121" s="160">
        <f t="shared" si="77"/>
        <v>686.7212723107026</v>
      </c>
      <c r="S121" s="160">
        <f t="shared" si="78"/>
        <v>1.5693401314013089</v>
      </c>
      <c r="T121" s="160" t="str">
        <f t="shared" si="69"/>
        <v>1+0.000161581304520677i</v>
      </c>
      <c r="U121" s="160">
        <f t="shared" si="79"/>
        <v>1.000000013054259</v>
      </c>
      <c r="V121" s="160">
        <f t="shared" si="80"/>
        <v>1.6158130311446091E-4</v>
      </c>
      <c r="W121" s="98" t="str">
        <f t="shared" si="70"/>
        <v>1-0.000457813696141918i</v>
      </c>
      <c r="X121" s="160">
        <f t="shared" si="81"/>
        <v>1.0000001047966847</v>
      </c>
      <c r="Y121" s="160">
        <f t="shared" si="82"/>
        <v>-4.578136641570153E-4</v>
      </c>
      <c r="Z121" s="98" t="str">
        <f t="shared" si="71"/>
        <v>0.999995407385514-0.00313456439627641i</v>
      </c>
      <c r="AA121" s="160">
        <f t="shared" si="83"/>
        <v>1.0000003201429861</v>
      </c>
      <c r="AB121" s="160">
        <f t="shared" si="84"/>
        <v>-3.1345685258929458E-3</v>
      </c>
      <c r="AC121" s="171" t="str">
        <f t="shared" si="85"/>
        <v>0.00482329725735558-1.12311844485487i</v>
      </c>
      <c r="AD121" s="190">
        <f t="shared" si="86"/>
        <v>1.0085912906997425</v>
      </c>
      <c r="AE121" s="169">
        <f t="shared" si="87"/>
        <v>-89.753941466715759</v>
      </c>
      <c r="AF121" s="98" t="str">
        <f t="shared" si="72"/>
        <v>-0.0000119284294234592</v>
      </c>
      <c r="AG121" s="98" t="str">
        <f t="shared" si="73"/>
        <v>0.0000037717116007739i</v>
      </c>
      <c r="AH121" s="98">
        <f t="shared" si="88"/>
        <v>3.7717116007739001E-6</v>
      </c>
      <c r="AI121" s="98">
        <f t="shared" si="89"/>
        <v>1.5707963267948966</v>
      </c>
      <c r="AJ121" s="98" t="str">
        <f t="shared" si="74"/>
        <v>1+0.00325727666343016i</v>
      </c>
      <c r="AK121" s="98">
        <f t="shared" si="90"/>
        <v>1.00000530491156</v>
      </c>
      <c r="AL121" s="98">
        <f t="shared" si="91"/>
        <v>3.2572651437631872E-3</v>
      </c>
      <c r="AM121" s="98" t="str">
        <f t="shared" si="75"/>
        <v>1+8.29450696539475i</v>
      </c>
      <c r="AN121" s="98">
        <f t="shared" si="92"/>
        <v>8.3545703539429255</v>
      </c>
      <c r="AO121" s="98">
        <f t="shared" si="93"/>
        <v>1.4508136946954249</v>
      </c>
      <c r="AP121" s="168" t="str">
        <f t="shared" si="94"/>
        <v>-26.2216595256183+3.248014994969i</v>
      </c>
      <c r="AQ121" s="98">
        <f t="shared" si="95"/>
        <v>28.439332089263317</v>
      </c>
      <c r="AR121" s="169">
        <f t="shared" si="96"/>
        <v>172.93887402033667</v>
      </c>
      <c r="AS121" s="168" t="str">
        <f t="shared" si="97"/>
        <v>3.52143069154165+29.4656956097434i</v>
      </c>
      <c r="AT121" s="190">
        <f t="shared" si="98"/>
        <v>29.447923379963061</v>
      </c>
      <c r="AU121" s="169">
        <f t="shared" si="99"/>
        <v>83.184932553620939</v>
      </c>
      <c r="AV121" s="225"/>
      <c r="AX121">
        <f t="shared" si="100"/>
        <v>0</v>
      </c>
      <c r="AY121">
        <f t="shared" si="101"/>
        <v>0</v>
      </c>
    </row>
    <row r="122" spans="14:51" x14ac:dyDescent="0.2">
      <c r="N122" s="170">
        <v>4</v>
      </c>
      <c r="O122" s="199">
        <f t="shared" si="102"/>
        <v>109.64781961431861</v>
      </c>
      <c r="P122" s="189" t="str">
        <f t="shared" si="67"/>
        <v>771.276595744681</v>
      </c>
      <c r="Q122" s="160" t="str">
        <f t="shared" si="68"/>
        <v>1+702.716320548263i</v>
      </c>
      <c r="R122" s="160">
        <f t="shared" si="77"/>
        <v>702.71703207257542</v>
      </c>
      <c r="S122" s="160">
        <f t="shared" si="78"/>
        <v>1.5693732784100272</v>
      </c>
      <c r="T122" s="160" t="str">
        <f t="shared" si="69"/>
        <v>1+0.000165345016599591i</v>
      </c>
      <c r="U122" s="160">
        <f t="shared" si="79"/>
        <v>1.0000000136694871</v>
      </c>
      <c r="V122" s="160">
        <f t="shared" si="80"/>
        <v>1.6534501509280329E-4</v>
      </c>
      <c r="W122" s="98" t="str">
        <f t="shared" si="70"/>
        <v>1-0.000468477547032175i</v>
      </c>
      <c r="X122" s="160">
        <f t="shared" si="81"/>
        <v>1.0000001097355999</v>
      </c>
      <c r="Y122" s="160">
        <f t="shared" si="82"/>
        <v>-4.6847751275973449E-4</v>
      </c>
      <c r="Z122" s="98" t="str">
        <f t="shared" si="71"/>
        <v>0.999995190942262-0.00320757778056241i</v>
      </c>
      <c r="AA122" s="160">
        <f t="shared" si="83"/>
        <v>1.0000003352313784</v>
      </c>
      <c r="AB122" s="160">
        <f t="shared" si="84"/>
        <v>-3.2075822055255021E-3</v>
      </c>
      <c r="AC122" s="171" t="str">
        <f t="shared" si="85"/>
        <v>0.00474968830990445-1.09755303377984i</v>
      </c>
      <c r="AD122" s="190">
        <f t="shared" si="86"/>
        <v>0.80859162236999504</v>
      </c>
      <c r="AE122" s="169">
        <f t="shared" si="87"/>
        <v>-89.752052623435759</v>
      </c>
      <c r="AF122" s="98" t="str">
        <f t="shared" si="72"/>
        <v>-0.0000119284294234592</v>
      </c>
      <c r="AG122" s="98" t="str">
        <f t="shared" si="73"/>
        <v>3.85956604997596E-06i</v>
      </c>
      <c r="AH122" s="98">
        <f t="shared" si="88"/>
        <v>3.8595660499759601E-6</v>
      </c>
      <c r="AI122" s="98">
        <f t="shared" si="89"/>
        <v>1.5707963267948966</v>
      </c>
      <c r="AJ122" s="98" t="str">
        <f t="shared" si="74"/>
        <v>1+0.00333314838360772i</v>
      </c>
      <c r="AK122" s="98">
        <f t="shared" si="90"/>
        <v>1.0000055549236451</v>
      </c>
      <c r="AL122" s="98">
        <f t="shared" si="91"/>
        <v>3.3331360400658716E-3</v>
      </c>
      <c r="AM122" s="98" t="str">
        <f t="shared" si="75"/>
        <v>1+8.48771085211235i</v>
      </c>
      <c r="AN122" s="98">
        <f t="shared" si="92"/>
        <v>8.5464165302813182</v>
      </c>
      <c r="AO122" s="98">
        <f t="shared" si="93"/>
        <v>1.4535195727035257</v>
      </c>
      <c r="AP122" s="168" t="str">
        <f t="shared" si="94"/>
        <v>-26.2216464142292+3.17801478228372i</v>
      </c>
      <c r="AQ122" s="98">
        <f t="shared" si="95"/>
        <v>28.436528614042736</v>
      </c>
      <c r="AR122" s="169">
        <f t="shared" si="96"/>
        <v>173.08956232793213</v>
      </c>
      <c r="AS122" s="168" t="str">
        <f t="shared" si="97"/>
        <v>3.36349511825256+28.7947421522996i</v>
      </c>
      <c r="AT122" s="190">
        <f t="shared" si="98"/>
        <v>29.245120236412721</v>
      </c>
      <c r="AU122" s="169">
        <f t="shared" si="99"/>
        <v>83.33750970449637</v>
      </c>
      <c r="AV122" s="225"/>
      <c r="AX122">
        <f t="shared" si="100"/>
        <v>0</v>
      </c>
      <c r="AY122">
        <f t="shared" si="101"/>
        <v>0</v>
      </c>
    </row>
    <row r="123" spans="14:51" x14ac:dyDescent="0.2">
      <c r="N123" s="170">
        <v>5</v>
      </c>
      <c r="O123" s="199">
        <f t="shared" si="102"/>
        <v>112.20184543019634</v>
      </c>
      <c r="P123" s="189" t="str">
        <f t="shared" si="67"/>
        <v>771.276595744681</v>
      </c>
      <c r="Q123" s="160" t="str">
        <f t="shared" si="68"/>
        <v>1+719.084686378354i</v>
      </c>
      <c r="R123" s="160">
        <f t="shared" si="77"/>
        <v>719.08538170641168</v>
      </c>
      <c r="S123" s="160">
        <f t="shared" si="78"/>
        <v>1.5694056709037316</v>
      </c>
      <c r="T123" s="160" t="str">
        <f t="shared" si="69"/>
        <v>1+0.000169196396794907i</v>
      </c>
      <c r="U123" s="160">
        <f t="shared" si="79"/>
        <v>1.0000000143137102</v>
      </c>
      <c r="V123" s="160">
        <f t="shared" si="80"/>
        <v>1.6919639518035489E-4</v>
      </c>
      <c r="W123" s="98" t="str">
        <f t="shared" si="70"/>
        <v>1-0.000479389790918902i</v>
      </c>
      <c r="X123" s="160">
        <f t="shared" si="81"/>
        <v>1.0000001149072792</v>
      </c>
      <c r="Y123" s="160">
        <f t="shared" si="82"/>
        <v>-4.7938975419532055E-4</v>
      </c>
      <c r="Z123" s="98" t="str">
        <f t="shared" si="71"/>
        <v>0.999994964298353-0.00328229186504497i</v>
      </c>
      <c r="AA123" s="160">
        <f t="shared" si="83"/>
        <v>1.0000003510309143</v>
      </c>
      <c r="AB123" s="160">
        <f t="shared" si="84"/>
        <v>-3.2822966064775094E-3</v>
      </c>
      <c r="AC123" s="171" t="str">
        <f t="shared" si="85"/>
        <v>0.00467939229660985-1.07256955041959i</v>
      </c>
      <c r="AD123" s="190">
        <f t="shared" si="86"/>
        <v>0.60859193148206814</v>
      </c>
      <c r="AE123" s="169">
        <f t="shared" si="87"/>
        <v>-89.750032314324514</v>
      </c>
      <c r="AF123" s="98" t="str">
        <f t="shared" si="72"/>
        <v>-0.0000119284294234592</v>
      </c>
      <c r="AG123" s="98" t="str">
        <f t="shared" si="73"/>
        <v>3.94946689218511E-06i</v>
      </c>
      <c r="AH123" s="98">
        <f t="shared" si="88"/>
        <v>3.9494668921851104E-6</v>
      </c>
      <c r="AI123" s="98">
        <f t="shared" si="89"/>
        <v>1.5707963267948966</v>
      </c>
      <c r="AJ123" s="98" t="str">
        <f t="shared" si="74"/>
        <v>1+0.0034107873831777i</v>
      </c>
      <c r="AK123" s="98">
        <f t="shared" si="90"/>
        <v>1.0000058167183696</v>
      </c>
      <c r="AL123" s="98">
        <f t="shared" si="91"/>
        <v>3.4107741568384694E-3</v>
      </c>
      <c r="AM123" s="98" t="str">
        <f t="shared" si="75"/>
        <v>1+8.68541503547188i</v>
      </c>
      <c r="AN123" s="98">
        <f t="shared" si="92"/>
        <v>8.7427932800908099</v>
      </c>
      <c r="AO123" s="98">
        <f t="shared" si="93"/>
        <v>1.4561655255510193</v>
      </c>
      <c r="AP123" s="168" t="str">
        <f t="shared" si="94"/>
        <v>-26.2216326849334+3.10969959098173i</v>
      </c>
      <c r="AQ123" s="98">
        <f t="shared" si="95"/>
        <v>28.433849428105997</v>
      </c>
      <c r="AR123" s="169">
        <f t="shared" si="96"/>
        <v>173.23671592246373</v>
      </c>
      <c r="AS123" s="168" t="str">
        <f t="shared" si="97"/>
        <v>3.21266778624885+28.1390762844575i</v>
      </c>
      <c r="AT123" s="190">
        <f t="shared" si="98"/>
        <v>29.042441359588075</v>
      </c>
      <c r="AU123" s="169">
        <f t="shared" si="99"/>
        <v>83.486683608139231</v>
      </c>
      <c r="AV123" s="225"/>
      <c r="AX123">
        <f t="shared" si="100"/>
        <v>0</v>
      </c>
      <c r="AY123">
        <f t="shared" si="101"/>
        <v>0</v>
      </c>
    </row>
    <row r="124" spans="14:51" x14ac:dyDescent="0.2">
      <c r="N124" s="170">
        <v>6</v>
      </c>
      <c r="O124" s="199">
        <f t="shared" si="102"/>
        <v>114.81536214968835</v>
      </c>
      <c r="P124" s="189" t="str">
        <f t="shared" si="67"/>
        <v>771.276595744681</v>
      </c>
      <c r="Q124" s="160" t="str">
        <f t="shared" si="68"/>
        <v>1+735.834320427374i</v>
      </c>
      <c r="R124" s="160">
        <f t="shared" si="77"/>
        <v>735.83499992784755</v>
      </c>
      <c r="S124" s="160">
        <f t="shared" si="78"/>
        <v>1.5694373260570791</v>
      </c>
      <c r="T124" s="160" t="str">
        <f t="shared" si="69"/>
        <v>1+0.000173137487159382i</v>
      </c>
      <c r="U124" s="160">
        <f t="shared" si="79"/>
        <v>1.0000000149882946</v>
      </c>
      <c r="V124" s="160">
        <f t="shared" si="80"/>
        <v>1.7313748542935824E-4</v>
      </c>
      <c r="W124" s="98" t="str">
        <f t="shared" si="70"/>
        <v>1-0.000490556213618248i</v>
      </c>
      <c r="X124" s="160">
        <f t="shared" si="81"/>
        <v>1.000000120322692</v>
      </c>
      <c r="Y124" s="160">
        <f t="shared" si="82"/>
        <v>-4.9055617426822188E-4</v>
      </c>
      <c r="Z124" s="98" t="str">
        <f t="shared" si="71"/>
        <v>0.999994726973046-0.00335874626412064i</v>
      </c>
      <c r="AA124" s="160">
        <f t="shared" si="83"/>
        <v>1.0000003675751143</v>
      </c>
      <c r="AB124" s="160">
        <f t="shared" si="84"/>
        <v>-3.3587513446561995E-3</v>
      </c>
      <c r="AC124" s="171" t="str">
        <f t="shared" si="85"/>
        <v>0.004612260111975-1.04815474883007i</v>
      </c>
      <c r="AD124" s="190">
        <f t="shared" si="86"/>
        <v>0.4085922186917561</v>
      </c>
      <c r="AE124" s="169">
        <f t="shared" si="87"/>
        <v>-89.74787946809424</v>
      </c>
      <c r="AF124" s="98" t="str">
        <f t="shared" si="72"/>
        <v>-0.0000119284294234592</v>
      </c>
      <c r="AG124" s="98" t="str">
        <f t="shared" si="73"/>
        <v>4.04146179401787E-06i</v>
      </c>
      <c r="AH124" s="98">
        <f t="shared" si="88"/>
        <v>4.0414617940178701E-6</v>
      </c>
      <c r="AI124" s="98">
        <f t="shared" si="89"/>
        <v>1.5707963267948966</v>
      </c>
      <c r="AJ124" s="98" t="str">
        <f t="shared" si="74"/>
        <v>1+0.00349023482736535i</v>
      </c>
      <c r="AK124" s="98">
        <f t="shared" si="90"/>
        <v>1.0000060908510258</v>
      </c>
      <c r="AL124" s="98">
        <f t="shared" si="91"/>
        <v>3.4902206550921889E-3</v>
      </c>
      <c r="AM124" s="98" t="str">
        <f t="shared" si="75"/>
        <v>1+8.88772434084827i</v>
      </c>
      <c r="AN124" s="98">
        <f t="shared" si="92"/>
        <v>8.9438047809031929</v>
      </c>
      <c r="AO124" s="98">
        <f t="shared" si="93"/>
        <v>1.4587528078812482</v>
      </c>
      <c r="AP124" s="168" t="str">
        <f t="shared" si="94"/>
        <v>-26.2216183086114+3.04303319914967i</v>
      </c>
      <c r="AQ124" s="98">
        <f t="shared" si="95"/>
        <v>28.431289074693407</v>
      </c>
      <c r="AR124" s="169">
        <f t="shared" si="96"/>
        <v>173.38040433134759</v>
      </c>
      <c r="AS124" s="168" t="str">
        <f t="shared" si="97"/>
        <v>3.06862877434004+27.4983490128244i</v>
      </c>
      <c r="AT124" s="190">
        <f t="shared" si="98"/>
        <v>28.839881293385162</v>
      </c>
      <c r="AU124" s="169">
        <f t="shared" si="99"/>
        <v>83.632524863253352</v>
      </c>
      <c r="AV124" s="225"/>
      <c r="AX124">
        <f t="shared" si="100"/>
        <v>0</v>
      </c>
      <c r="AY124">
        <f t="shared" si="101"/>
        <v>0</v>
      </c>
    </row>
    <row r="125" spans="14:51" x14ac:dyDescent="0.2">
      <c r="N125" s="170">
        <v>7</v>
      </c>
      <c r="O125" s="199">
        <f t="shared" si="102"/>
        <v>117.48975549395293</v>
      </c>
      <c r="P125" s="189" t="str">
        <f t="shared" si="67"/>
        <v>771.276595744681</v>
      </c>
      <c r="Q125" s="160" t="str">
        <f t="shared" si="68"/>
        <v>1+752.974103573002i</v>
      </c>
      <c r="R125" s="160">
        <f t="shared" si="77"/>
        <v>752.97476760617019</v>
      </c>
      <c r="S125" s="160">
        <f t="shared" si="78"/>
        <v>1.5694682606537971</v>
      </c>
      <c r="T125" s="160" t="str">
        <f t="shared" si="69"/>
        <v>1+0.000177170377311294i</v>
      </c>
      <c r="U125" s="160">
        <f t="shared" si="79"/>
        <v>1.0000000156946711</v>
      </c>
      <c r="V125" s="160">
        <f t="shared" si="80"/>
        <v>1.7717037545754015E-4</v>
      </c>
      <c r="W125" s="98" t="str">
        <f t="shared" si="70"/>
        <v>1-0.000501982735715334i</v>
      </c>
      <c r="X125" s="160">
        <f t="shared" si="81"/>
        <v>1.0000001259933256</v>
      </c>
      <c r="Y125" s="160">
        <f t="shared" si="82"/>
        <v>-5.0198269355102162E-4</v>
      </c>
      <c r="Z125" s="98" t="str">
        <f t="shared" si="71"/>
        <v>0.999994478462942-0.00343698151492381i</v>
      </c>
      <c r="AA125" s="160">
        <f t="shared" si="83"/>
        <v>1.0000003848990786</v>
      </c>
      <c r="AB125" s="160">
        <f t="shared" si="84"/>
        <v>-3.436986958814686E-3</v>
      </c>
      <c r="AC125" s="171" t="str">
        <f t="shared" si="85"/>
        <v>0.00454814936125193-1.02429568454777i</v>
      </c>
      <c r="AD125" s="190">
        <f t="shared" si="86"/>
        <v>0.20859248460801841</v>
      </c>
      <c r="AE125" s="169">
        <f t="shared" si="87"/>
        <v>-89.745592943179801</v>
      </c>
      <c r="AF125" s="98" t="str">
        <f t="shared" si="72"/>
        <v>-0.0000119284294234592</v>
      </c>
      <c r="AG125" s="98" t="str">
        <f t="shared" si="73"/>
        <v>4.13559953238889E-06i</v>
      </c>
      <c r="AH125" s="98">
        <f t="shared" si="88"/>
        <v>4.13559953238889E-6</v>
      </c>
      <c r="AI125" s="98">
        <f t="shared" si="89"/>
        <v>1.5707963267948966</v>
      </c>
      <c r="AJ125" s="98" t="str">
        <f t="shared" si="74"/>
        <v>1+0.00357153284025719i</v>
      </c>
      <c r="AK125" s="98">
        <f t="shared" si="90"/>
        <v>1.0000063779030757</v>
      </c>
      <c r="AL125" s="98">
        <f t="shared" si="91"/>
        <v>3.5715176543981296E-3</v>
      </c>
      <c r="AM125" s="98" t="str">
        <f t="shared" si="75"/>
        <v>1+9.09474603531311i</v>
      </c>
      <c r="AN125" s="98">
        <f t="shared" si="92"/>
        <v>9.1495576639990368</v>
      </c>
      <c r="AO125" s="98">
        <f t="shared" si="93"/>
        <v>1.4612826528758303</v>
      </c>
      <c r="AP125" s="168" t="str">
        <f t="shared" si="94"/>
        <v>-26.221603254771+2.97798025906839i</v>
      </c>
      <c r="AQ125" s="98">
        <f t="shared" si="95"/>
        <v>28.428842329537616</v>
      </c>
      <c r="AR125" s="169">
        <f t="shared" si="96"/>
        <v>173.52069579741212</v>
      </c>
      <c r="AS125" s="168" t="str">
        <f t="shared" si="97"/>
        <v>2.93107255993801+26.8722193547988i</v>
      </c>
      <c r="AT125" s="190">
        <f t="shared" si="98"/>
        <v>28.637434814145635</v>
      </c>
      <c r="AU125" s="169">
        <f t="shared" si="99"/>
        <v>83.77510285423233</v>
      </c>
      <c r="AV125" s="225"/>
      <c r="AX125">
        <f t="shared" si="100"/>
        <v>0</v>
      </c>
      <c r="AY125">
        <f t="shared" si="101"/>
        <v>0</v>
      </c>
    </row>
    <row r="126" spans="14:51" x14ac:dyDescent="0.2">
      <c r="N126" s="170">
        <v>8</v>
      </c>
      <c r="O126" s="199">
        <f t="shared" si="102"/>
        <v>120.22644346174135</v>
      </c>
      <c r="P126" s="189" t="str">
        <f t="shared" si="67"/>
        <v>771.276595744681</v>
      </c>
      <c r="Q126" s="160" t="str">
        <f t="shared" si="68"/>
        <v>1+770.513123555137i</v>
      </c>
      <c r="R126" s="160">
        <f t="shared" si="77"/>
        <v>770.51377247307767</v>
      </c>
      <c r="S126" s="160">
        <f t="shared" si="78"/>
        <v>1.5694984910955814</v>
      </c>
      <c r="T126" s="160" t="str">
        <f t="shared" si="69"/>
        <v>1+0.000181297205542385i</v>
      </c>
      <c r="U126" s="160">
        <f t="shared" si="79"/>
        <v>1.0000000164343381</v>
      </c>
      <c r="V126" s="160">
        <f t="shared" si="80"/>
        <v>1.8129720355605195E-4</v>
      </c>
      <c r="W126" s="98" t="str">
        <f t="shared" si="70"/>
        <v>1-0.000513675415703424i</v>
      </c>
      <c r="X126" s="160">
        <f t="shared" si="81"/>
        <v>1.0000001319312077</v>
      </c>
      <c r="Y126" s="160">
        <f t="shared" si="82"/>
        <v>-5.1367537052354956E-4</v>
      </c>
      <c r="Z126" s="98" t="str">
        <f t="shared" si="71"/>
        <v>0.999994218240917-0.00351703909882003i</v>
      </c>
      <c r="AA126" s="160">
        <f t="shared" si="83"/>
        <v>1.0000004030395615</v>
      </c>
      <c r="AB126" s="160">
        <f t="shared" si="84"/>
        <v>-3.517044932053015E-3</v>
      </c>
      <c r="AC126" s="171" t="str">
        <f t="shared" si="85"/>
        <v>0.00448692405841684-1.00097970772927i</v>
      </c>
      <c r="AD126" s="190">
        <f t="shared" si="86"/>
        <v>8.5927297948538012E-3</v>
      </c>
      <c r="AE126" s="169">
        <f t="shared" si="87"/>
        <v>-89.743171527132859</v>
      </c>
      <c r="AF126" s="98" t="str">
        <f t="shared" si="72"/>
        <v>-0.0000119284294234592</v>
      </c>
      <c r="AG126" s="98" t="str">
        <f t="shared" si="73"/>
        <v>4.23193002037312E-06i</v>
      </c>
      <c r="AH126" s="98">
        <f t="shared" si="88"/>
        <v>4.2319300203731198E-6</v>
      </c>
      <c r="AI126" s="98">
        <f t="shared" si="89"/>
        <v>1.5707963267948966</v>
      </c>
      <c r="AJ126" s="98" t="str">
        <f t="shared" si="74"/>
        <v>1+0.00365472452713577i</v>
      </c>
      <c r="AK126" s="98">
        <f t="shared" si="90"/>
        <v>1.0000066784833834</v>
      </c>
      <c r="AL126" s="98">
        <f t="shared" si="91"/>
        <v>3.6547082552004896E-3</v>
      </c>
      <c r="AM126" s="98" t="str">
        <f t="shared" si="75"/>
        <v>1+9.30658988450909i</v>
      </c>
      <c r="AN126" s="98">
        <f t="shared" si="92"/>
        <v>9.3601610711807162</v>
      </c>
      <c r="AO126" s="98">
        <f t="shared" si="93"/>
        <v>1.4637562722913968</v>
      </c>
      <c r="AP126" s="168" t="str">
        <f t="shared" si="94"/>
        <v>-26.2215874914834+2.91450627846966i</v>
      </c>
      <c r="AQ126" s="98">
        <f t="shared" si="95"/>
        <v>28.426504191462012</v>
      </c>
      <c r="AR126" s="169">
        <f t="shared" si="96"/>
        <v>173.65765727972456</v>
      </c>
      <c r="AS126" s="168" t="str">
        <f t="shared" si="97"/>
        <v>2.79970737103226+26.2603541517618i</v>
      </c>
      <c r="AT126" s="190">
        <f t="shared" si="98"/>
        <v>28.435096921256861</v>
      </c>
      <c r="AU126" s="169">
        <f t="shared" si="99"/>
        <v>83.914485752591716</v>
      </c>
      <c r="AV126" s="225"/>
      <c r="AX126">
        <f t="shared" si="100"/>
        <v>0</v>
      </c>
      <c r="AY126">
        <f t="shared" si="101"/>
        <v>0</v>
      </c>
    </row>
    <row r="127" spans="14:51" x14ac:dyDescent="0.2">
      <c r="N127" s="170">
        <v>9</v>
      </c>
      <c r="O127" s="199">
        <f t="shared" si="102"/>
        <v>123.02687708123821</v>
      </c>
      <c r="P127" s="189" t="str">
        <f t="shared" si="67"/>
        <v>771.276595744681</v>
      </c>
      <c r="Q127" s="160" t="str">
        <f t="shared" si="68"/>
        <v>1+788.460679794326i</v>
      </c>
      <c r="R127" s="160">
        <f t="shared" si="77"/>
        <v>788.46131394110307</v>
      </c>
      <c r="S127" s="160">
        <f t="shared" si="78"/>
        <v>1.5695280334107911</v>
      </c>
      <c r="T127" s="160" t="str">
        <f t="shared" si="69"/>
        <v>1+0.000185520159951606i</v>
      </c>
      <c r="U127" s="160">
        <f t="shared" si="79"/>
        <v>1.0000000172088648</v>
      </c>
      <c r="V127" s="160">
        <f t="shared" si="80"/>
        <v>1.855201578232118E-4</v>
      </c>
      <c r="W127" s="98" t="str">
        <f t="shared" si="70"/>
        <v>1-0.000525640453196216i</v>
      </c>
      <c r="X127" s="160">
        <f t="shared" si="81"/>
        <v>1.0000001381489336</v>
      </c>
      <c r="Y127" s="160">
        <f t="shared" si="82"/>
        <v>-5.2564040478510861E-4</v>
      </c>
      <c r="Z127" s="98" t="str">
        <f t="shared" si="71"/>
        <v>0.999993945755006-0.00359896146339996i</v>
      </c>
      <c r="AA127" s="160">
        <f t="shared" si="83"/>
        <v>1.0000004220350514</v>
      </c>
      <c r="AB127" s="160">
        <f t="shared" si="84"/>
        <v>-3.5989677138203863E-3</v>
      </c>
      <c r="AC127" s="171" t="str">
        <f t="shared" si="85"/>
        <v>0.00442845433773814-0.978194456446721i</v>
      </c>
      <c r="AD127" s="190">
        <f t="shared" si="86"/>
        <v>-0.19140704522766744</v>
      </c>
      <c r="AE127" s="169">
        <f t="shared" si="87"/>
        <v>-89.740613935978502</v>
      </c>
      <c r="AF127" s="98" t="str">
        <f t="shared" si="72"/>
        <v>-0.0000119284294234592</v>
      </c>
      <c r="AG127" s="98" t="str">
        <f t="shared" si="73"/>
        <v>4.33050433367036E-06i</v>
      </c>
      <c r="AH127" s="98">
        <f t="shared" si="88"/>
        <v>4.3305043336703603E-6</v>
      </c>
      <c r="AI127" s="98">
        <f t="shared" si="89"/>
        <v>1.5707963267948966</v>
      </c>
      <c r="AJ127" s="98" t="str">
        <f t="shared" si="74"/>
        <v>1+0.00373985399733462i</v>
      </c>
      <c r="AK127" s="98">
        <f t="shared" si="90"/>
        <v>1.0000069932295081</v>
      </c>
      <c r="AL127" s="98">
        <f t="shared" si="91"/>
        <v>3.7398365616484186E-3</v>
      </c>
      <c r="AM127" s="98" t="str">
        <f t="shared" si="75"/>
        <v>1+9.5233682108491i</v>
      </c>
      <c r="AN127" s="98">
        <f t="shared" si="92"/>
        <v>9.5757267128615968</v>
      </c>
      <c r="AO127" s="98">
        <f t="shared" si="93"/>
        <v>1.4661748565233264</v>
      </c>
      <c r="AP127" s="168" t="str">
        <f t="shared" si="94"/>
        <v>-26.2215709853153+2.85257760224627i</v>
      </c>
      <c r="AQ127" s="98">
        <f t="shared" si="95"/>
        <v>28.424269873309591</v>
      </c>
      <c r="AR127" s="169">
        <f t="shared" si="96"/>
        <v>173.79135445593442</v>
      </c>
      <c r="AS127" s="168" t="str">
        <f t="shared" si="97"/>
        <v>2.67425456732915+25.662427886816i</v>
      </c>
      <c r="AT127" s="190">
        <f t="shared" si="98"/>
        <v>28.23286282808192</v>
      </c>
      <c r="AU127" s="169">
        <f t="shared" si="99"/>
        <v>84.050740519955951</v>
      </c>
      <c r="AV127" s="225"/>
      <c r="AX127">
        <f t="shared" si="100"/>
        <v>0</v>
      </c>
      <c r="AY127">
        <f t="shared" si="101"/>
        <v>0</v>
      </c>
    </row>
    <row r="128" spans="14:51" x14ac:dyDescent="0.2">
      <c r="N128" s="170">
        <v>10</v>
      </c>
      <c r="O128" s="199">
        <f t="shared" si="102"/>
        <v>125.89254117941677</v>
      </c>
      <c r="P128" s="189" t="str">
        <f t="shared" si="67"/>
        <v>771.276595744681</v>
      </c>
      <c r="Q128" s="160" t="str">
        <f t="shared" si="68"/>
        <v>1+806.826288322452i</v>
      </c>
      <c r="R128" s="160">
        <f t="shared" si="77"/>
        <v>806.82690803429728</v>
      </c>
      <c r="S128" s="160">
        <f t="shared" si="78"/>
        <v>1.5695569032629462</v>
      </c>
      <c r="T128" s="160" t="str">
        <f t="shared" si="69"/>
        <v>1+0.000189841479605283i</v>
      </c>
      <c r="U128" s="160">
        <f t="shared" si="79"/>
        <v>1.0000000180198936</v>
      </c>
      <c r="V128" s="160">
        <f t="shared" si="80"/>
        <v>1.8984147732466753E-4</v>
      </c>
      <c r="W128" s="98" t="str">
        <f t="shared" si="70"/>
        <v>1-0.000537884192214967i</v>
      </c>
      <c r="X128" s="160">
        <f t="shared" si="81"/>
        <v>1.0000001446596916</v>
      </c>
      <c r="Y128" s="160">
        <f t="shared" si="82"/>
        <v>-5.3788414034153134E-4</v>
      </c>
      <c r="Z128" s="98" t="str">
        <f t="shared" si="71"/>
        <v>0.99999366042723-0.00368279204498566i</v>
      </c>
      <c r="AA128" s="160">
        <f t="shared" si="83"/>
        <v>1.0000004419258506</v>
      </c>
      <c r="AB128" s="160">
        <f t="shared" si="84"/>
        <v>-3.6827987424303205E-3</v>
      </c>
      <c r="AC128" s="171" t="str">
        <f t="shared" si="85"/>
        <v>0.00437261617832503-0.95592785013581i</v>
      </c>
      <c r="AD128" s="190">
        <f t="shared" si="86"/>
        <v>-0.39140683998248416</v>
      </c>
      <c r="AE128" s="169">
        <f t="shared" si="87"/>
        <v>-89.737918813534066</v>
      </c>
      <c r="AF128" s="98" t="str">
        <f t="shared" si="72"/>
        <v>-0.0000119284294234592</v>
      </c>
      <c r="AG128" s="98" t="str">
        <f t="shared" si="73"/>
        <v>4.43137473768632E-06i</v>
      </c>
      <c r="AH128" s="98">
        <f t="shared" si="88"/>
        <v>4.4313747376863201E-6</v>
      </c>
      <c r="AI128" s="98">
        <f t="shared" si="89"/>
        <v>1.5707963267948966</v>
      </c>
      <c r="AJ128" s="98" t="str">
        <f t="shared" si="74"/>
        <v>1+0.00382696638762568i</v>
      </c>
      <c r="AK128" s="98">
        <f t="shared" si="90"/>
        <v>1.0000073228090542</v>
      </c>
      <c r="AL128" s="98">
        <f t="shared" si="91"/>
        <v>3.8269477049587045E-3</v>
      </c>
      <c r="AM128" s="98" t="str">
        <f t="shared" si="75"/>
        <v>1+9.74519595307118i</v>
      </c>
      <c r="AN128" s="98">
        <f t="shared" si="92"/>
        <v>9.7963689275034422</v>
      </c>
      <c r="AO128" s="98">
        <f t="shared" si="93"/>
        <v>1.4685395746942542</v>
      </c>
      <c r="AP128" s="168" t="str">
        <f t="shared" si="94"/>
        <v>-26.2215537012578+2.7921613946059i</v>
      </c>
      <c r="AQ128" s="98">
        <f t="shared" si="95"/>
        <v>28.422134793195202</v>
      </c>
      <c r="AR128" s="169">
        <f t="shared" si="96"/>
        <v>173.92185172600628</v>
      </c>
      <c r="AS128" s="168" t="str">
        <f t="shared" si="97"/>
        <v>2.55444804924288+25.0781225069506i</v>
      </c>
      <c r="AT128" s="190">
        <f t="shared" si="98"/>
        <v>28.030727953212708</v>
      </c>
      <c r="AU128" s="169">
        <f t="shared" si="99"/>
        <v>84.18393291247223</v>
      </c>
      <c r="AV128" s="225"/>
      <c r="AX128">
        <f t="shared" si="100"/>
        <v>0</v>
      </c>
      <c r="AY128">
        <f t="shared" si="101"/>
        <v>0</v>
      </c>
    </row>
    <row r="129" spans="14:51" x14ac:dyDescent="0.2">
      <c r="N129" s="170">
        <v>11</v>
      </c>
      <c r="O129" s="199">
        <f t="shared" si="102"/>
        <v>128.82495516931343</v>
      </c>
      <c r="P129" s="189" t="str">
        <f t="shared" si="67"/>
        <v>771.276595744681</v>
      </c>
      <c r="Q129" s="160" t="str">
        <f t="shared" si="68"/>
        <v>1+825.619686828257i</v>
      </c>
      <c r="R129" s="160">
        <f t="shared" si="77"/>
        <v>825.620292433749</v>
      </c>
      <c r="S129" s="160">
        <f t="shared" si="78"/>
        <v>1.5695851159590322</v>
      </c>
      <c r="T129" s="160" t="str">
        <f t="shared" si="69"/>
        <v>1+0.000194263455724296i</v>
      </c>
      <c r="U129" s="160">
        <f t="shared" si="79"/>
        <v>1.0000000188691449</v>
      </c>
      <c r="V129" s="160">
        <f t="shared" si="80"/>
        <v>1.9426345328057249E-4</v>
      </c>
      <c r="W129" s="98" t="str">
        <f t="shared" si="70"/>
        <v>1-0.00055041312455217i</v>
      </c>
      <c r="X129" s="160">
        <f t="shared" si="81"/>
        <v>1.0000001514772923</v>
      </c>
      <c r="Y129" s="160">
        <f t="shared" si="82"/>
        <v>-5.5041306896878276E-4</v>
      </c>
      <c r="Z129" s="98" t="str">
        <f t="shared" si="71"/>
        <v>0.99999336165237-0.00376857529166113i</v>
      </c>
      <c r="AA129" s="160">
        <f t="shared" si="83"/>
        <v>1.0000004627541612</v>
      </c>
      <c r="AB129" s="160">
        <f t="shared" si="84"/>
        <v>-3.7685824681007057E-3</v>
      </c>
      <c r="AC129" s="171" t="str">
        <f t="shared" si="85"/>
        <v>0.00431929114107317-0.934168083192782i</v>
      </c>
      <c r="AD129" s="190">
        <f t="shared" si="86"/>
        <v>-0.59140665403437598</v>
      </c>
      <c r="AE129" s="169">
        <f t="shared" si="87"/>
        <v>-89.735084730689422</v>
      </c>
      <c r="AF129" s="98" t="str">
        <f t="shared" si="72"/>
        <v>-0.0000119284294234592</v>
      </c>
      <c r="AG129" s="98" t="str">
        <f t="shared" si="73"/>
        <v>4.53459471524437E-06i</v>
      </c>
      <c r="AH129" s="98">
        <f t="shared" si="88"/>
        <v>4.53459471524437E-6</v>
      </c>
      <c r="AI129" s="98">
        <f t="shared" si="89"/>
        <v>1.5707963267948966</v>
      </c>
      <c r="AJ129" s="98" t="str">
        <f t="shared" si="74"/>
        <v>1+0.00391610788615135i</v>
      </c>
      <c r="AK129" s="98">
        <f t="shared" si="90"/>
        <v>1.0000076679210894</v>
      </c>
      <c r="AL129" s="98">
        <f t="shared" si="91"/>
        <v>3.916087867321302E-3</v>
      </c>
      <c r="AM129" s="98" t="str">
        <f t="shared" si="75"/>
        <v>1+9.97219072718051i</v>
      </c>
      <c r="AN129" s="98">
        <f t="shared" si="92"/>
        <v>10.022204742433921</v>
      </c>
      <c r="AO129" s="98">
        <f t="shared" si="93"/>
        <v>1.4708515747652517</v>
      </c>
      <c r="AP129" s="168" t="str">
        <f t="shared" si="94"/>
        <v>-26.2215356026522+2.73322562165935i</v>
      </c>
      <c r="AQ129" s="98">
        <f t="shared" si="95"/>
        <v>28.420094566073594</v>
      </c>
      <c r="AR129" s="169">
        <f t="shared" si="96"/>
        <v>174.04921221721989</v>
      </c>
      <c r="AS129" s="168" t="str">
        <f t="shared" si="97"/>
        <v>2.44003369348504+24.5071272495151i</v>
      </c>
      <c r="AT129" s="190">
        <f t="shared" si="98"/>
        <v>27.828687912039225</v>
      </c>
      <c r="AU129" s="169">
        <f t="shared" si="99"/>
        <v>84.314127486530467</v>
      </c>
      <c r="AV129" s="225"/>
      <c r="AX129">
        <f t="shared" si="100"/>
        <v>0</v>
      </c>
      <c r="AY129">
        <f t="shared" si="101"/>
        <v>0</v>
      </c>
    </row>
    <row r="130" spans="14:51" x14ac:dyDescent="0.2">
      <c r="N130" s="170">
        <v>12</v>
      </c>
      <c r="O130" s="199">
        <f t="shared" si="102"/>
        <v>131.82567385564084</v>
      </c>
      <c r="P130" s="189" t="str">
        <f t="shared" si="67"/>
        <v>771.276595744681</v>
      </c>
      <c r="Q130" s="160" t="str">
        <f t="shared" si="68"/>
        <v>1+844.850839820387i</v>
      </c>
      <c r="R130" s="160">
        <f t="shared" si="77"/>
        <v>844.85143164062481</v>
      </c>
      <c r="S130" s="160">
        <f t="shared" si="78"/>
        <v>1.5696126864576141</v>
      </c>
      <c r="T130" s="160" t="str">
        <f t="shared" si="69"/>
        <v>1+0.000198788432898914i</v>
      </c>
      <c r="U130" s="160">
        <f t="shared" si="79"/>
        <v>1.0000000197584205</v>
      </c>
      <c r="V130" s="160">
        <f t="shared" si="80"/>
        <v>1.9878843028041707E-4</v>
      </c>
      <c r="W130" s="98" t="str">
        <f t="shared" si="70"/>
        <v>1-0.000563233893213591i</v>
      </c>
      <c r="X130" s="160">
        <f t="shared" si="81"/>
        <v>1.0000001586161966</v>
      </c>
      <c r="Y130" s="160">
        <f t="shared" si="82"/>
        <v>-5.6323383365491897E-4</v>
      </c>
      <c r="Z130" s="98" t="str">
        <f t="shared" si="71"/>
        <v>0.999993048796685-0.00385635668683924i</v>
      </c>
      <c r="AA130" s="160">
        <f t="shared" si="83"/>
        <v>1.0000004845641752</v>
      </c>
      <c r="AB130" s="160">
        <f t="shared" si="84"/>
        <v>-3.8563643765309082E-3</v>
      </c>
      <c r="AC130" s="171" t="str">
        <f t="shared" si="85"/>
        <v>0.00426836611744884-0.912903618717085i</v>
      </c>
      <c r="AD130" s="190">
        <f t="shared" si="86"/>
        <v>-0.7914064869889943</v>
      </c>
      <c r="AE130" s="169">
        <f t="shared" si="87"/>
        <v>-89.732110184648761</v>
      </c>
      <c r="AF130" s="98" t="str">
        <f t="shared" si="72"/>
        <v>-0.0000119284294234592</v>
      </c>
      <c r="AG130" s="98" t="str">
        <f t="shared" si="73"/>
        <v>4.64021899494291E-06i</v>
      </c>
      <c r="AH130" s="98">
        <f t="shared" si="88"/>
        <v>4.6402189949429096E-6</v>
      </c>
      <c r="AI130" s="98">
        <f t="shared" si="89"/>
        <v>1.5707963267948966</v>
      </c>
      <c r="AJ130" s="98" t="str">
        <f t="shared" si="74"/>
        <v>1+0.00400732575691408i</v>
      </c>
      <c r="AK130" s="98">
        <f t="shared" si="90"/>
        <v>1.0000080292976261</v>
      </c>
      <c r="AL130" s="98">
        <f t="shared" si="91"/>
        <v>4.0073043063605183E-3</v>
      </c>
      <c r="AM130" s="98" t="str">
        <f t="shared" si="75"/>
        <v>1+10.2044728888109i</v>
      </c>
      <c r="AN130" s="98">
        <f t="shared" si="92"/>
        <v>10.253353936077534</v>
      </c>
      <c r="AO130" s="98">
        <f t="shared" si="93"/>
        <v>1.4731119836677129</v>
      </c>
      <c r="AP130" s="168" t="str">
        <f t="shared" si="94"/>
        <v>-26.2215166511122+2.67573903443367i</v>
      </c>
      <c r="AQ130" s="98">
        <f t="shared" si="95"/>
        <v>28.418144995615307</v>
      </c>
      <c r="AR130" s="169">
        <f t="shared" si="96"/>
        <v>174.17349779032554</v>
      </c>
      <c r="AS130" s="168" t="str">
        <f t="shared" si="97"/>
        <v>2.33076881405533+23.9491384728843i</v>
      </c>
      <c r="AT130" s="190">
        <f t="shared" si="98"/>
        <v>27.6267385086263</v>
      </c>
      <c r="AU130" s="169">
        <f t="shared" si="99"/>
        <v>84.441387605676766</v>
      </c>
      <c r="AV130" s="225"/>
      <c r="AX130">
        <f t="shared" si="100"/>
        <v>0</v>
      </c>
      <c r="AY130">
        <f t="shared" si="101"/>
        <v>0</v>
      </c>
    </row>
    <row r="131" spans="14:51" x14ac:dyDescent="0.2">
      <c r="N131" s="170">
        <v>13</v>
      </c>
      <c r="O131" s="199">
        <f t="shared" si="102"/>
        <v>134.89628825916537</v>
      </c>
      <c r="P131" s="189" t="str">
        <f t="shared" si="67"/>
        <v>771.276595744681</v>
      </c>
      <c r="Q131" s="160" t="str">
        <f t="shared" si="68"/>
        <v>1+864.529943910711i</v>
      </c>
      <c r="R131" s="160">
        <f t="shared" si="77"/>
        <v>864.53052225948466</v>
      </c>
      <c r="S131" s="160">
        <f t="shared" si="78"/>
        <v>1.5696396293767674</v>
      </c>
      <c r="T131" s="160" t="str">
        <f t="shared" si="69"/>
        <v>1+0.000203418810331932i</v>
      </c>
      <c r="U131" s="160">
        <f t="shared" si="79"/>
        <v>1.000000020689606</v>
      </c>
      <c r="V131" s="160">
        <f t="shared" si="80"/>
        <v>2.0341880752616201E-4</v>
      </c>
      <c r="W131" s="98" t="str">
        <f t="shared" si="70"/>
        <v>1-0.000576353295940473i</v>
      </c>
      <c r="X131" s="160">
        <f t="shared" si="81"/>
        <v>1.000000166091547</v>
      </c>
      <c r="Y131" s="160">
        <f t="shared" si="82"/>
        <v>-5.763532321222067E-4</v>
      </c>
      <c r="Z131" s="98" t="str">
        <f t="shared" si="71"/>
        <v>0.999992721196566-0.00394618277337762i</v>
      </c>
      <c r="AA131" s="160">
        <f t="shared" si="83"/>
        <v>1.0000005074021683</v>
      </c>
      <c r="AB131" s="160">
        <f t="shared" si="84"/>
        <v>-3.9461910130285842E-3</v>
      </c>
      <c r="AC131" s="171" t="str">
        <f t="shared" si="85"/>
        <v>0.00421973308957929-0.892123182396328i</v>
      </c>
      <c r="AD131" s="190">
        <f t="shared" si="86"/>
        <v>-0.99140633849211668</v>
      </c>
      <c r="AE131" s="169">
        <f t="shared" si="87"/>
        <v>-89.728993598133016</v>
      </c>
      <c r="AF131" s="98" t="str">
        <f t="shared" si="72"/>
        <v>-0.0000119284294234592</v>
      </c>
      <c r="AG131" s="98" t="str">
        <f t="shared" si="73"/>
        <v>4.74830358017312E-06i</v>
      </c>
      <c r="AH131" s="98">
        <f t="shared" si="88"/>
        <v>4.7483035801731198E-6</v>
      </c>
      <c r="AI131" s="98">
        <f t="shared" si="89"/>
        <v>1.5707963267948966</v>
      </c>
      <c r="AJ131" s="98" t="str">
        <f t="shared" si="74"/>
        <v>1+0.00410066836483634i</v>
      </c>
      <c r="AK131" s="98">
        <f t="shared" si="90"/>
        <v>1.0000084077051743</v>
      </c>
      <c r="AL131" s="98">
        <f t="shared" si="91"/>
        <v>4.1006453801645274E-3</v>
      </c>
      <c r="AM131" s="98" t="str">
        <f t="shared" si="75"/>
        <v>1+10.4421655970392i</v>
      </c>
      <c r="AN131" s="98">
        <f t="shared" si="92"/>
        <v>10.489939101633956</v>
      </c>
      <c r="AO131" s="98">
        <f t="shared" si="93"/>
        <v>1.4753219074540984</v>
      </c>
      <c r="AP131" s="168" t="str">
        <f t="shared" si="94"/>
        <v>-26.2214968064434+2.61967115230151i</v>
      </c>
      <c r="AQ131" s="98">
        <f t="shared" si="95"/>
        <v>28.416282066382674</v>
      </c>
      <c r="AR131" s="169">
        <f t="shared" si="96"/>
        <v>174.29476904674686</v>
      </c>
      <c r="AS131" s="168" t="str">
        <f t="shared" si="97"/>
        <v>2.22642164749063+23.4038594912046i</v>
      </c>
      <c r="AT131" s="190">
        <f t="shared" si="98"/>
        <v>27.424875727890552</v>
      </c>
      <c r="AU131" s="169">
        <f t="shared" si="99"/>
        <v>84.565775448613834</v>
      </c>
      <c r="AV131" s="225"/>
      <c r="AX131">
        <f t="shared" si="100"/>
        <v>0</v>
      </c>
      <c r="AY131">
        <f t="shared" si="101"/>
        <v>0</v>
      </c>
    </row>
    <row r="132" spans="14:51" x14ac:dyDescent="0.2">
      <c r="N132" s="170">
        <v>14</v>
      </c>
      <c r="O132" s="199">
        <f t="shared" si="102"/>
        <v>138.0384264602886</v>
      </c>
      <c r="P132" s="189" t="str">
        <f t="shared" si="67"/>
        <v>771.276595744681</v>
      </c>
      <c r="Q132" s="160" t="str">
        <f t="shared" si="68"/>
        <v>1+884.667433220705i</v>
      </c>
      <c r="R132" s="160">
        <f t="shared" si="77"/>
        <v>884.6679984046616</v>
      </c>
      <c r="S132" s="160">
        <f t="shared" si="78"/>
        <v>1.5696659590018278</v>
      </c>
      <c r="T132" s="160" t="str">
        <f t="shared" si="69"/>
        <v>1+0.000208157043110754i</v>
      </c>
      <c r="U132" s="160">
        <f t="shared" si="79"/>
        <v>1.0000000216646769</v>
      </c>
      <c r="V132" s="160">
        <f t="shared" si="80"/>
        <v>2.0815704010431729E-4</v>
      </c>
      <c r="W132" s="98" t="str">
        <f t="shared" si="70"/>
        <v>1-0.000589778288813802i</v>
      </c>
      <c r="X132" s="160">
        <f t="shared" si="81"/>
        <v>1.0000001739191999</v>
      </c>
      <c r="Y132" s="160">
        <f t="shared" si="82"/>
        <v>-5.8977822043129822E-4</v>
      </c>
      <c r="Z132" s="98" t="str">
        <f t="shared" si="71"/>
        <v>0.999992378157128-0.00403810117825635i</v>
      </c>
      <c r="AA132" s="160">
        <f t="shared" si="83"/>
        <v>1.0000005313165963</v>
      </c>
      <c r="AB132" s="160">
        <f t="shared" si="84"/>
        <v>-4.0381100071990644E-3</v>
      </c>
      <c r="AC132" s="171" t="str">
        <f t="shared" si="85"/>
        <v>0.00417328890114019-0.871815756530341i</v>
      </c>
      <c r="AD132" s="190">
        <f t="shared" si="86"/>
        <v>-1.1914062082289265</v>
      </c>
      <c r="AE132" s="169">
        <f t="shared" si="87"/>
        <v>-89.725733318543135</v>
      </c>
      <c r="AF132" s="98" t="str">
        <f t="shared" si="72"/>
        <v>-0.0000119284294234592</v>
      </c>
      <c r="AG132" s="98" t="str">
        <f t="shared" si="73"/>
        <v>4.85890577881278E-06i</v>
      </c>
      <c r="AH132" s="98">
        <f t="shared" si="88"/>
        <v>4.8589057788127804E-6</v>
      </c>
      <c r="AI132" s="98">
        <f t="shared" si="89"/>
        <v>1.5707963267948966</v>
      </c>
      <c r="AJ132" s="98" t="str">
        <f t="shared" si="74"/>
        <v>1+0.00419618520140441i</v>
      </c>
      <c r="AK132" s="98">
        <f t="shared" si="90"/>
        <v>1.0000088039463675</v>
      </c>
      <c r="AL132" s="98">
        <f t="shared" si="91"/>
        <v>4.1961605728965488E-3</v>
      </c>
      <c r="AM132" s="98" t="str">
        <f t="shared" si="75"/>
        <v>1+10.6853948796854i</v>
      </c>
      <c r="AN132" s="98">
        <f t="shared" si="92"/>
        <v>10.732085712237254</v>
      </c>
      <c r="AO132" s="98">
        <f t="shared" si="93"/>
        <v>1.4774824314658026</v>
      </c>
      <c r="AP132" s="168" t="str">
        <f t="shared" si="94"/>
        <v>-26.2214760265561+2.56499224681755i</v>
      </c>
      <c r="AQ132" s="98">
        <f t="shared" si="95"/>
        <v>28.414501936296585</v>
      </c>
      <c r="AR132" s="169">
        <f t="shared" si="96"/>
        <v>174.41308533673123</v>
      </c>
      <c r="AS132" s="168" t="str">
        <f t="shared" si="97"/>
        <v>2.12677086128056+22.8710004131094i</v>
      </c>
      <c r="AT132" s="190">
        <f t="shared" si="98"/>
        <v>27.223095728067669</v>
      </c>
      <c r="AU132" s="169">
        <f t="shared" si="99"/>
        <v>84.687352018188108</v>
      </c>
      <c r="AV132" s="225"/>
      <c r="AX132">
        <f t="shared" si="100"/>
        <v>0</v>
      </c>
      <c r="AY132">
        <f t="shared" si="101"/>
        <v>0</v>
      </c>
    </row>
    <row r="133" spans="14:51" x14ac:dyDescent="0.2">
      <c r="N133" s="170">
        <v>15</v>
      </c>
      <c r="O133" s="199">
        <f t="shared" si="102"/>
        <v>141.25375446227542</v>
      </c>
      <c r="P133" s="189" t="str">
        <f t="shared" si="67"/>
        <v>771.276595744681</v>
      </c>
      <c r="Q133" s="160" t="str">
        <f t="shared" si="68"/>
        <v>1+905.273984913749i</v>
      </c>
      <c r="R133" s="160">
        <f t="shared" si="77"/>
        <v>905.27453723255621</v>
      </c>
      <c r="S133" s="160">
        <f t="shared" si="78"/>
        <v>1.5696916892929651</v>
      </c>
      <c r="T133" s="160" t="str">
        <f t="shared" si="69"/>
        <v>1+0.000213005643509117i</v>
      </c>
      <c r="U133" s="160">
        <f t="shared" si="79"/>
        <v>1.0000000226857018</v>
      </c>
      <c r="V133" s="160">
        <f t="shared" si="80"/>
        <v>2.1300564028766205E-4</v>
      </c>
      <c r="W133" s="98" t="str">
        <f t="shared" si="70"/>
        <v>1-0.000603515989942498i</v>
      </c>
      <c r="X133" s="160">
        <f t="shared" si="81"/>
        <v>1.0000001821157585</v>
      </c>
      <c r="Y133" s="160">
        <f t="shared" si="82"/>
        <v>-6.0351591666932584E-4</v>
      </c>
      <c r="Z133" s="98" t="str">
        <f t="shared" si="71"/>
        <v>0.99999201895074-0.00413216063783038i</v>
      </c>
      <c r="AA133" s="160">
        <f t="shared" si="83"/>
        <v>1.0000005563582022</v>
      </c>
      <c r="AB133" s="160">
        <f t="shared" si="84"/>
        <v>-4.1321700982102898E-3</v>
      </c>
      <c r="AC133" s="171" t="str">
        <f t="shared" si="85"/>
        <v>0.00412893503855446-0.851970574191184i</v>
      </c>
      <c r="AD133" s="190">
        <f t="shared" si="86"/>
        <v>-1.3914060959232502</v>
      </c>
      <c r="AE133" s="169">
        <f t="shared" si="87"/>
        <v>-89.72232761708301</v>
      </c>
      <c r="AF133" s="98" t="str">
        <f t="shared" si="72"/>
        <v>-0.0000119284294234592</v>
      </c>
      <c r="AG133" s="98" t="str">
        <f t="shared" si="73"/>
        <v>4.97208423361157E-06i</v>
      </c>
      <c r="AH133" s="98">
        <f t="shared" si="88"/>
        <v>4.9720842336115697E-6</v>
      </c>
      <c r="AI133" s="98">
        <f t="shared" si="89"/>
        <v>1.5707963267948966</v>
      </c>
      <c r="AJ133" s="98" t="str">
        <f t="shared" si="74"/>
        <v>1+0.00429392691090933i</v>
      </c>
      <c r="AK133" s="98">
        <f t="shared" si="90"/>
        <v>1.0000092188616645</v>
      </c>
      <c r="AL133" s="98">
        <f t="shared" si="91"/>
        <v>4.2939005210008369E-3</v>
      </c>
      <c r="AM133" s="98" t="str">
        <f t="shared" si="75"/>
        <v>1+10.9342897001347i</v>
      </c>
      <c r="AN133" s="98">
        <f t="shared" si="92"/>
        <v>10.979922187632834</v>
      </c>
      <c r="AO133" s="98">
        <f t="shared" si="93"/>
        <v>1.4795946205165298</v>
      </c>
      <c r="AP133" s="168" t="str">
        <f t="shared" si="94"/>
        <v>-26.2214542673781+2.51167332595365i</v>
      </c>
      <c r="AQ133" s="98">
        <f t="shared" si="95"/>
        <v>28.412800929388009</v>
      </c>
      <c r="AR133" s="169">
        <f t="shared" si="96"/>
        <v>174.52850476835542</v>
      </c>
      <c r="AS133" s="168" t="str">
        <f t="shared" si="97"/>
        <v>2.03160508440698+22.3502779843069i</v>
      </c>
      <c r="AT133" s="190">
        <f t="shared" si="98"/>
        <v>27.021394833464747</v>
      </c>
      <c r="AU133" s="169">
        <f t="shared" si="99"/>
        <v>84.806177151272408</v>
      </c>
      <c r="AV133" s="225"/>
      <c r="AX133">
        <f t="shared" si="100"/>
        <v>0</v>
      </c>
      <c r="AY133">
        <f t="shared" si="101"/>
        <v>0</v>
      </c>
    </row>
    <row r="134" spans="14:51" x14ac:dyDescent="0.2">
      <c r="N134" s="170">
        <v>16</v>
      </c>
      <c r="O134" s="199">
        <f t="shared" si="102"/>
        <v>144.54397707459285</v>
      </c>
      <c r="P134" s="189" t="str">
        <f t="shared" si="67"/>
        <v>771.276595744681</v>
      </c>
      <c r="Q134" s="160" t="str">
        <f t="shared" si="68"/>
        <v>1+926.360524856313i</v>
      </c>
      <c r="R134" s="160">
        <f t="shared" si="77"/>
        <v>926.36106460281655</v>
      </c>
      <c r="S134" s="160">
        <f t="shared" si="78"/>
        <v>1.569716833892584</v>
      </c>
      <c r="T134" s="160" t="str">
        <f t="shared" si="69"/>
        <v>1+0.000217967182319132i</v>
      </c>
      <c r="U134" s="160">
        <f t="shared" si="79"/>
        <v>1.0000000237548461</v>
      </c>
      <c r="V134" s="160">
        <f t="shared" si="80"/>
        <v>2.1796717886728083E-4</v>
      </c>
      <c r="W134" s="98" t="str">
        <f t="shared" si="70"/>
        <v>1-0.000617573683237541i</v>
      </c>
      <c r="X134" s="160">
        <f t="shared" si="81"/>
        <v>1.0000001906986089</v>
      </c>
      <c r="Y134" s="160">
        <f t="shared" si="82"/>
        <v>-6.1757360472392334E-4</v>
      </c>
      <c r="Z134" s="98" t="str">
        <f t="shared" si="71"/>
        <v>0.999991642815477-0.0042284110236702i</v>
      </c>
      <c r="AA134" s="160">
        <f t="shared" si="83"/>
        <v>1.0000005825801213</v>
      </c>
      <c r="AB134" s="160">
        <f t="shared" si="84"/>
        <v>-4.2284211606469285E-3</v>
      </c>
      <c r="AC134" s="171" t="str">
        <f t="shared" si="85"/>
        <v>0.00408657742203834-0.832577113515988i</v>
      </c>
      <c r="AD134" s="190">
        <f t="shared" si="86"/>
        <v>-1.5914060013370188</v>
      </c>
      <c r="AE134" s="169">
        <f t="shared" si="87"/>
        <v>-89.718774687842185</v>
      </c>
      <c r="AF134" s="98" t="str">
        <f t="shared" si="72"/>
        <v>-0.0000119284294234592</v>
      </c>
      <c r="AG134" s="98" t="str">
        <f t="shared" si="73"/>
        <v>5.08789895328435E-06i</v>
      </c>
      <c r="AH134" s="98">
        <f t="shared" si="88"/>
        <v>5.0878989532843497E-6</v>
      </c>
      <c r="AI134" s="98">
        <f t="shared" si="89"/>
        <v>1.5707963267948966</v>
      </c>
      <c r="AJ134" s="98" t="str">
        <f t="shared" si="74"/>
        <v>1+0.00439394531729927i</v>
      </c>
      <c r="AK134" s="98">
        <f t="shared" si="90"/>
        <v>1.0000096533311322</v>
      </c>
      <c r="AL134" s="98">
        <f t="shared" si="91"/>
        <v>4.3939170400175984E-3</v>
      </c>
      <c r="AM134" s="98" t="str">
        <f t="shared" si="75"/>
        <v>1+11.1889820257155i</v>
      </c>
      <c r="AN134" s="98">
        <f t="shared" si="92"/>
        <v>11.233579962406665</v>
      </c>
      <c r="AO134" s="98">
        <f t="shared" si="93"/>
        <v>1.481659519089656</v>
      </c>
      <c r="AP134" s="168" t="str">
        <f t="shared" si="94"/>
        <v>-26.2214314827605+2.45968611872427i</v>
      </c>
      <c r="AQ134" s="98">
        <f t="shared" si="95"/>
        <v>28.411175528823801</v>
      </c>
      <c r="AR134" s="169">
        <f t="shared" si="96"/>
        <v>174.64108421729688</v>
      </c>
      <c r="AS134" s="168" t="str">
        <f t="shared" si="97"/>
        <v>1.94072245901182+21.8414154339321i</v>
      </c>
      <c r="AT134" s="190">
        <f t="shared" si="98"/>
        <v>26.819769527486791</v>
      </c>
      <c r="AU134" s="169">
        <f t="shared" si="99"/>
        <v>84.922309529454722</v>
      </c>
      <c r="AV134" s="225"/>
      <c r="AX134">
        <f t="shared" si="100"/>
        <v>0</v>
      </c>
      <c r="AY134">
        <f t="shared" si="101"/>
        <v>0</v>
      </c>
    </row>
    <row r="135" spans="14:51" x14ac:dyDescent="0.2">
      <c r="N135" s="170">
        <v>17</v>
      </c>
      <c r="O135" s="199">
        <f t="shared" si="102"/>
        <v>147.91083881682084</v>
      </c>
      <c r="P135" s="189" t="str">
        <f t="shared" si="67"/>
        <v>771.276595744681</v>
      </c>
      <c r="Q135" s="160" t="str">
        <f t="shared" si="68"/>
        <v>1+947.938233410986i</v>
      </c>
      <c r="R135" s="160">
        <f t="shared" si="77"/>
        <v>947.93876087136607</v>
      </c>
      <c r="S135" s="160">
        <f t="shared" si="78"/>
        <v>1.5697414061325565</v>
      </c>
      <c r="T135" s="160" t="str">
        <f t="shared" si="69"/>
        <v>1+0.00022304429021435i</v>
      </c>
      <c r="U135" s="160">
        <f t="shared" si="79"/>
        <v>1.0000000248743774</v>
      </c>
      <c r="V135" s="160">
        <f t="shared" si="80"/>
        <v>2.2304428651562483E-4</v>
      </c>
      <c r="W135" s="98" t="str">
        <f t="shared" si="70"/>
        <v>1-0.00063195882227399i</v>
      </c>
      <c r="X135" s="160">
        <f t="shared" si="81"/>
        <v>1.0000001996859567</v>
      </c>
      <c r="Y135" s="160">
        <f t="shared" si="82"/>
        <v>-6.3195873814513373E-4</v>
      </c>
      <c r="Z135" s="98" t="str">
        <f t="shared" si="71"/>
        <v>0.999991248953504-0.00432690336900441i</v>
      </c>
      <c r="AA135" s="160">
        <f t="shared" si="83"/>
        <v>1.0000006100379908</v>
      </c>
      <c r="AB135" s="160">
        <f t="shared" si="84"/>
        <v>-4.3269142309673341E-3</v>
      </c>
      <c r="AC135" s="171" t="str">
        <f t="shared" si="85"/>
        <v>0.00404612620605156-0.813625092129631i</v>
      </c>
      <c r="AD135" s="190">
        <f t="shared" si="86"/>
        <v>-1.7914059242697533</v>
      </c>
      <c r="AE135" s="169">
        <f t="shared" si="87"/>
        <v>-89.715072646837513</v>
      </c>
      <c r="AF135" s="98" t="str">
        <f t="shared" si="72"/>
        <v>-0.0000119284294234592</v>
      </c>
      <c r="AG135" s="98" t="str">
        <f t="shared" si="73"/>
        <v>5.20641134432846E-06i</v>
      </c>
      <c r="AH135" s="98">
        <f t="shared" si="88"/>
        <v>5.2064113443284602E-6</v>
      </c>
      <c r="AI135" s="98">
        <f t="shared" si="89"/>
        <v>1.5707963267948966</v>
      </c>
      <c r="AJ135" s="98" t="str">
        <f t="shared" si="74"/>
        <v>1+0.00449629345165718i</v>
      </c>
      <c r="AK135" s="98">
        <f t="shared" si="90"/>
        <v>1.0000101082763131</v>
      </c>
      <c r="AL135" s="98">
        <f t="shared" si="91"/>
        <v>4.4962631520205111E-3</v>
      </c>
      <c r="AM135" s="98" t="str">
        <f t="shared" si="75"/>
        <v>1+11.4496068976699i</v>
      </c>
      <c r="AN135" s="98">
        <f t="shared" si="92"/>
        <v>11.493193555803808</v>
      </c>
      <c r="AO135" s="98">
        <f t="shared" si="93"/>
        <v>1.4836781515481561</v>
      </c>
      <c r="AP135" s="168" t="str">
        <f t="shared" si="94"/>
        <v>-26.2214076243791+2.40900306019402i</v>
      </c>
      <c r="AQ135" s="98">
        <f t="shared" si="95"/>
        <v>28.409622370199422</v>
      </c>
      <c r="AR135" s="169">
        <f t="shared" si="96"/>
        <v>174.75087933728972</v>
      </c>
      <c r="AS135" s="168" t="str">
        <f t="shared" si="97"/>
        <v>1.85393021224236+21.3441423245664i</v>
      </c>
      <c r="AT135" s="190">
        <f t="shared" si="98"/>
        <v>26.618216445929683</v>
      </c>
      <c r="AU135" s="169">
        <f t="shared" si="99"/>
        <v>85.035806690452219</v>
      </c>
      <c r="AV135" s="225"/>
      <c r="AX135">
        <f t="shared" si="100"/>
        <v>0</v>
      </c>
      <c r="AY135">
        <f t="shared" si="101"/>
        <v>0</v>
      </c>
    </row>
    <row r="136" spans="14:51" x14ac:dyDescent="0.2">
      <c r="N136" s="170">
        <v>18</v>
      </c>
      <c r="O136" s="199">
        <f t="shared" si="102"/>
        <v>151.3561248436209</v>
      </c>
      <c r="P136" s="189" t="str">
        <f t="shared" si="67"/>
        <v>771.276595744681</v>
      </c>
      <c r="Q136" s="160" t="str">
        <f t="shared" si="68"/>
        <v>1+970.01855136446i</v>
      </c>
      <c r="R136" s="160">
        <f t="shared" si="77"/>
        <v>970.01906681838238</v>
      </c>
      <c r="S136" s="160">
        <f t="shared" si="78"/>
        <v>1.5697654190412909</v>
      </c>
      <c r="T136" s="160" t="str">
        <f t="shared" si="69"/>
        <v>1+0.000228239659144579i</v>
      </c>
      <c r="U136" s="160">
        <f t="shared" si="79"/>
        <v>1.0000000260466706</v>
      </c>
      <c r="V136" s="160">
        <f t="shared" si="80"/>
        <v>2.2823965518132356E-4</v>
      </c>
      <c r="W136" s="98" t="str">
        <f t="shared" si="70"/>
        <v>1-0.000646679034242972i</v>
      </c>
      <c r="X136" s="160">
        <f t="shared" si="81"/>
        <v>1.0000002090968649</v>
      </c>
      <c r="Y136" s="160">
        <f t="shared" si="82"/>
        <v>-6.4667894409727944E-4</v>
      </c>
      <c r="Z136" s="98" t="str">
        <f t="shared" si="71"/>
        <v>0.999990836529389-0.00442768989577819i</v>
      </c>
      <c r="AA136" s="160">
        <f t="shared" si="83"/>
        <v>1.0000006387900762</v>
      </c>
      <c r="AB136" s="160">
        <f t="shared" si="84"/>
        <v>-4.4277015345774049E-3</v>
      </c>
      <c r="AC136" s="171" t="str">
        <f t="shared" si="85"/>
        <v>0.00400749558872826-0.795104461694284i</v>
      </c>
      <c r="AD136" s="190">
        <f t="shared" si="86"/>
        <v>-1.99140586455823</v>
      </c>
      <c r="AE136" s="169">
        <f t="shared" si="87"/>
        <v>-89.711219531013541</v>
      </c>
      <c r="AF136" s="98" t="str">
        <f t="shared" si="72"/>
        <v>-0.0000119284294234592</v>
      </c>
      <c r="AG136" s="98" t="str">
        <f t="shared" si="73"/>
        <v>5.32768424358233E-06i</v>
      </c>
      <c r="AH136" s="98">
        <f t="shared" si="88"/>
        <v>5.3276842435823296E-6</v>
      </c>
      <c r="AI136" s="98">
        <f t="shared" si="89"/>
        <v>1.5707963267948966</v>
      </c>
      <c r="AJ136" s="98" t="str">
        <f t="shared" si="74"/>
        <v>1+0.00460102558031864i</v>
      </c>
      <c r="AK136" s="98">
        <f t="shared" si="90"/>
        <v>1.0000105846621778</v>
      </c>
      <c r="AL136" s="98">
        <f t="shared" si="91"/>
        <v>4.6009931136915677E-3</v>
      </c>
      <c r="AM136" s="98" t="str">
        <f t="shared" si="75"/>
        <v>1+11.716302502755i</v>
      </c>
      <c r="AN136" s="98">
        <f t="shared" si="92"/>
        <v>11.758900643175069</v>
      </c>
      <c r="AO136" s="98">
        <f t="shared" si="93"/>
        <v>1.4856515223557858</v>
      </c>
      <c r="AP136" s="168" t="str">
        <f t="shared" si="94"/>
        <v>-26.2213826416336+2.35959727685939i</v>
      </c>
      <c r="AQ136" s="98">
        <f t="shared" si="95"/>
        <v>28.408138235091126</v>
      </c>
      <c r="AR136" s="169">
        <f t="shared" si="96"/>
        <v>174.85794457118891</v>
      </c>
      <c r="AS136" s="168" t="str">
        <f t="shared" si="97"/>
        <v>1.77104424736588+20.8581944058341i</v>
      </c>
      <c r="AT136" s="190">
        <f t="shared" si="98"/>
        <v>26.416732370532895</v>
      </c>
      <c r="AU136" s="169">
        <f t="shared" si="99"/>
        <v>85.146725040175383</v>
      </c>
      <c r="AV136" s="225"/>
      <c r="AX136">
        <f t="shared" si="100"/>
        <v>0</v>
      </c>
      <c r="AY136">
        <f t="shared" si="101"/>
        <v>0</v>
      </c>
    </row>
    <row r="137" spans="14:51" x14ac:dyDescent="0.2">
      <c r="N137" s="170">
        <v>19</v>
      </c>
      <c r="O137" s="199">
        <f t="shared" si="102"/>
        <v>154.8816618912482</v>
      </c>
      <c r="P137" s="189" t="str">
        <f t="shared" si="67"/>
        <v>771.276595744681</v>
      </c>
      <c r="Q137" s="160" t="str">
        <f t="shared" si="68"/>
        <v>1+992.61318599358i</v>
      </c>
      <c r="R137" s="160">
        <f t="shared" si="77"/>
        <v>992.6136897143449</v>
      </c>
      <c r="S137" s="160">
        <f t="shared" si="78"/>
        <v>1.5697888853506383</v>
      </c>
      <c r="T137" s="160" t="str">
        <f t="shared" si="69"/>
        <v>1+0.000233556043763195i</v>
      </c>
      <c r="U137" s="160">
        <f t="shared" si="79"/>
        <v>1.0000000272742124</v>
      </c>
      <c r="V137" s="160">
        <f t="shared" si="80"/>
        <v>2.3355603951649031E-4</v>
      </c>
      <c r="W137" s="98" t="str">
        <f t="shared" si="70"/>
        <v>1-0.000661742123995719i</v>
      </c>
      <c r="X137" s="160">
        <f t="shared" si="81"/>
        <v>1.0000002189512953</v>
      </c>
      <c r="Y137" s="160">
        <f t="shared" si="82"/>
        <v>-6.6174202740287022E-4</v>
      </c>
      <c r="Z137" s="98" t="str">
        <f t="shared" si="71"/>
        <v>0.999990404668324-0.00453082404234213i</v>
      </c>
      <c r="AA137" s="160">
        <f t="shared" si="83"/>
        <v>1.0000006688973868</v>
      </c>
      <c r="AB137" s="160">
        <f t="shared" si="84"/>
        <v>-4.5308365135359741E-3</v>
      </c>
      <c r="AC137" s="171" t="str">
        <f t="shared" si="85"/>
        <v>0.00397060362988491-0.777005402582979i</v>
      </c>
      <c r="AD137" s="190">
        <f t="shared" si="86"/>
        <v>-2.1914058220759323</v>
      </c>
      <c r="AE137" s="169">
        <f t="shared" si="87"/>
        <v>-89.707213297200582</v>
      </c>
      <c r="AF137" s="98" t="str">
        <f t="shared" si="72"/>
        <v>-0.0000119284294234592</v>
      </c>
      <c r="AG137" s="98" t="str">
        <f t="shared" si="73"/>
        <v>5.45178195154239E-06i</v>
      </c>
      <c r="AH137" s="98">
        <f t="shared" si="88"/>
        <v>5.4517819515423903E-6</v>
      </c>
      <c r="AI137" s="98">
        <f t="shared" si="89"/>
        <v>1.5707963267948966</v>
      </c>
      <c r="AJ137" s="98" t="str">
        <f t="shared" si="74"/>
        <v>1+0.00470819723364455i</v>
      </c>
      <c r="AK137" s="98">
        <f t="shared" si="90"/>
        <v>1.0000110834991736</v>
      </c>
      <c r="AL137" s="98">
        <f t="shared" si="91"/>
        <v>4.7081624450476898E-3</v>
      </c>
      <c r="AM137" s="98" t="str">
        <f t="shared" si="75"/>
        <v>1+11.9892102465107i</v>
      </c>
      <c r="AN137" s="98">
        <f t="shared" si="92"/>
        <v>12.030842129087937</v>
      </c>
      <c r="AO137" s="98">
        <f t="shared" si="93"/>
        <v>1.4875806163082628</v>
      </c>
      <c r="AP137" s="168" t="str">
        <f t="shared" si="94"/>
        <v>-26.2213564815388+2.31144257239679i</v>
      </c>
      <c r="AQ137" s="98">
        <f t="shared" si="95"/>
        <v>28.406720044857611</v>
      </c>
      <c r="AR137" s="169">
        <f t="shared" si="96"/>
        <v>174.9623331625701</v>
      </c>
      <c r="AS137" s="168" t="str">
        <f t="shared" si="97"/>
        <v>1.6918887532865+20.3833134714781i</v>
      </c>
      <c r="AT137" s="190">
        <f t="shared" si="98"/>
        <v>26.215314222781686</v>
      </c>
      <c r="AU137" s="169">
        <f t="shared" si="99"/>
        <v>85.255119865369537</v>
      </c>
      <c r="AV137" s="225"/>
      <c r="AX137">
        <f t="shared" si="100"/>
        <v>0</v>
      </c>
      <c r="AY137">
        <f t="shared" si="101"/>
        <v>0</v>
      </c>
    </row>
    <row r="138" spans="14:51" x14ac:dyDescent="0.2">
      <c r="N138" s="170">
        <v>20</v>
      </c>
      <c r="O138" s="199">
        <f t="shared" si="102"/>
        <v>158.48931924611153</v>
      </c>
      <c r="P138" s="189" t="str">
        <f t="shared" si="67"/>
        <v>771.276595744681</v>
      </c>
      <c r="Q138" s="160" t="str">
        <f t="shared" si="68"/>
        <v>1+1015.7341172727i</v>
      </c>
      <c r="R138" s="160">
        <f t="shared" si="77"/>
        <v>1015.7346095273859</v>
      </c>
      <c r="S138" s="160">
        <f t="shared" si="78"/>
        <v>1.5698118175026432</v>
      </c>
      <c r="T138" s="160" t="str">
        <f t="shared" si="69"/>
        <v>1+0.000238996262887695i</v>
      </c>
      <c r="U138" s="160">
        <f t="shared" si="79"/>
        <v>1.0000000285596065</v>
      </c>
      <c r="V138" s="160">
        <f t="shared" si="80"/>
        <v>2.3899625833726898E-4</v>
      </c>
      <c r="W138" s="98" t="str">
        <f t="shared" si="70"/>
        <v>1-0.000677156078181802i</v>
      </c>
      <c r="X138" s="160">
        <f t="shared" si="81"/>
        <v>1.0000002292701509</v>
      </c>
      <c r="Y138" s="160">
        <f t="shared" si="82"/>
        <v>-6.771559746807012E-4</v>
      </c>
      <c r="Z138" s="98" t="str">
        <f t="shared" si="71"/>
        <v>0.999989952454274-0.00463636049178586i</v>
      </c>
      <c r="AA138" s="160">
        <f t="shared" si="83"/>
        <v>1.0000007004238103</v>
      </c>
      <c r="AB138" s="160">
        <f t="shared" si="84"/>
        <v>-4.6363738549061052E-3</v>
      </c>
      <c r="AC138" s="171" t="str">
        <f t="shared" si="85"/>
        <v>0.00393537207721852-0.75931831867432i</v>
      </c>
      <c r="AD138" s="190">
        <f t="shared" si="86"/>
        <v>-2.3914057967329905</v>
      </c>
      <c r="AE138" s="169">
        <f t="shared" si="87"/>
        <v>-89.703051821030684</v>
      </c>
      <c r="AF138" s="98" t="str">
        <f t="shared" si="72"/>
        <v>-0.0000119284294234592</v>
      </c>
      <c r="AG138" s="98" t="str">
        <f t="shared" si="73"/>
        <v>5.57877026645602E-06i</v>
      </c>
      <c r="AH138" s="98">
        <f t="shared" si="88"/>
        <v>5.5787702664560199E-6</v>
      </c>
      <c r="AI138" s="98">
        <f t="shared" si="89"/>
        <v>1.5707963267948966</v>
      </c>
      <c r="AJ138" s="98" t="str">
        <f t="shared" si="74"/>
        <v>1+0.0048178652354641i</v>
      </c>
      <c r="AK138" s="98">
        <f t="shared" si="90"/>
        <v>1.0000116058453656</v>
      </c>
      <c r="AL138" s="98">
        <f t="shared" si="91"/>
        <v>4.8178279588343281E-3</v>
      </c>
      <c r="AM138" s="98" t="str">
        <f t="shared" si="75"/>
        <v>1+12.268474828235i</v>
      </c>
      <c r="AN138" s="98">
        <f t="shared" si="92"/>
        <v>12.309162222143138</v>
      </c>
      <c r="AO138" s="98">
        <f t="shared" si="93"/>
        <v>1.4894663987733139</v>
      </c>
      <c r="AP138" s="168" t="str">
        <f t="shared" si="94"/>
        <v>-26.2213290886124+2.26451341376947i</v>
      </c>
      <c r="AQ138" s="98">
        <f t="shared" si="95"/>
        <v>28.405364854684581</v>
      </c>
      <c r="AR138" s="169">
        <f t="shared" si="96"/>
        <v>175.06409716779919</v>
      </c>
      <c r="AS138" s="168" t="str">
        <f t="shared" si="97"/>
        <v>1.616295831636+19.9192472198282i</v>
      </c>
      <c r="AT138" s="190">
        <f t="shared" si="98"/>
        <v>26.013959057951567</v>
      </c>
      <c r="AU138" s="169">
        <f t="shared" si="99"/>
        <v>85.361045346768506</v>
      </c>
      <c r="AV138" s="225"/>
      <c r="AX138">
        <f t="shared" si="100"/>
        <v>0</v>
      </c>
      <c r="AY138">
        <f t="shared" si="101"/>
        <v>0</v>
      </c>
    </row>
    <row r="139" spans="14:51" x14ac:dyDescent="0.2">
      <c r="N139" s="170">
        <v>21</v>
      </c>
      <c r="O139" s="199">
        <f t="shared" si="102"/>
        <v>162.18100973589304</v>
      </c>
      <c r="P139" s="189" t="str">
        <f t="shared" si="67"/>
        <v>771.276595744681</v>
      </c>
      <c r="Q139" s="160" t="str">
        <f t="shared" si="68"/>
        <v>1+1039.39360422563i</v>
      </c>
      <c r="R139" s="160">
        <f t="shared" si="77"/>
        <v>1039.3940852752366</v>
      </c>
      <c r="S139" s="160">
        <f t="shared" si="78"/>
        <v>1.5698342276561397</v>
      </c>
      <c r="T139" s="160" t="str">
        <f t="shared" si="69"/>
        <v>1+0.000244563200994266i</v>
      </c>
      <c r="U139" s="160">
        <f t="shared" si="79"/>
        <v>1.0000000299055791</v>
      </c>
      <c r="V139" s="160">
        <f t="shared" si="80"/>
        <v>2.4456319611839664E-4</v>
      </c>
      <c r="W139" s="98" t="str">
        <f t="shared" si="70"/>
        <v>1-0.000692929069483754i</v>
      </c>
      <c r="X139" s="160">
        <f t="shared" si="81"/>
        <v>1.000000240075319</v>
      </c>
      <c r="Y139" s="160">
        <f t="shared" si="82"/>
        <v>-6.9292895858032784E-4</v>
      </c>
      <c r="Z139" s="98" t="str">
        <f t="shared" si="71"/>
        <v>0.999989478928032-0.00474435520093181i</v>
      </c>
      <c r="AA139" s="160">
        <f t="shared" si="83"/>
        <v>1.000000733436246</v>
      </c>
      <c r="AB139" s="160">
        <f t="shared" si="84"/>
        <v>-4.7443695197678373E-3</v>
      </c>
      <c r="AC139" s="171" t="str">
        <f t="shared" si="85"/>
        <v>0.00390172620032725-0.742033832265637i</v>
      </c>
      <c r="AD139" s="190">
        <f t="shared" si="86"/>
        <v>-2.5914057884759414</v>
      </c>
      <c r="AE139" s="169">
        <f t="shared" si="87"/>
        <v>-89.698732895810082</v>
      </c>
      <c r="AF139" s="98" t="str">
        <f t="shared" si="72"/>
        <v>-0.0000119284294234592</v>
      </c>
      <c r="AG139" s="98" t="str">
        <f t="shared" si="73"/>
        <v>5.70871651920868E-06i</v>
      </c>
      <c r="AH139" s="98">
        <f t="shared" si="88"/>
        <v>5.7087165192086797E-6</v>
      </c>
      <c r="AI139" s="98">
        <f t="shared" si="89"/>
        <v>1.5707963267948966</v>
      </c>
      <c r="AJ139" s="98" t="str">
        <f t="shared" si="74"/>
        <v>1+0.00493008773320346i</v>
      </c>
      <c r="AK139" s="98">
        <f t="shared" si="90"/>
        <v>1.0000121528086832</v>
      </c>
      <c r="AL139" s="98">
        <f t="shared" si="91"/>
        <v>4.9300477906012424E-3</v>
      </c>
      <c r="AM139" s="98" t="str">
        <f t="shared" si="75"/>
        <v>1+12.5542443177057i</v>
      </c>
      <c r="AN139" s="98">
        <f t="shared" si="92"/>
        <v>12.594008511536185</v>
      </c>
      <c r="AO139" s="98">
        <f t="shared" si="93"/>
        <v>1.4913098159385096</v>
      </c>
      <c r="AP139" s="168" t="str">
        <f t="shared" si="94"/>
        <v>-26.2213004047586+2.21878491768588i</v>
      </c>
      <c r="AQ139" s="98">
        <f t="shared" si="95"/>
        <v>28.40406984786398</v>
      </c>
      <c r="AR139" s="169">
        <f t="shared" si="96"/>
        <v>175.163287468509</v>
      </c>
      <c r="AS139" s="168" t="str">
        <f t="shared" si="97"/>
        <v>1.54410514064775+19.4657491175777i</v>
      </c>
      <c r="AT139" s="190">
        <f t="shared" si="98"/>
        <v>25.81266405938802</v>
      </c>
      <c r="AU139" s="169">
        <f t="shared" si="99"/>
        <v>85.464554572698916</v>
      </c>
      <c r="AV139" s="225"/>
      <c r="AX139">
        <f t="shared" si="100"/>
        <v>0</v>
      </c>
      <c r="AY139">
        <f t="shared" si="101"/>
        <v>0</v>
      </c>
    </row>
    <row r="140" spans="14:51" x14ac:dyDescent="0.2">
      <c r="N140" s="170">
        <v>22</v>
      </c>
      <c r="O140" s="199">
        <f t="shared" si="102"/>
        <v>165.95869074375622</v>
      </c>
      <c r="P140" s="189" t="str">
        <f t="shared" si="67"/>
        <v>771.276595744681</v>
      </c>
      <c r="Q140" s="160" t="str">
        <f t="shared" si="68"/>
        <v>1+1063.60419142553i</v>
      </c>
      <c r="R140" s="160">
        <f t="shared" si="77"/>
        <v>1063.6046615251155</v>
      </c>
      <c r="S140" s="160">
        <f t="shared" si="78"/>
        <v>1.5698561276931973</v>
      </c>
      <c r="T140" s="160" t="str">
        <f t="shared" si="69"/>
        <v>1+0.000250259809747183i</v>
      </c>
      <c r="U140" s="160">
        <f t="shared" si="79"/>
        <v>1.0000000313149857</v>
      </c>
      <c r="V140" s="160">
        <f t="shared" si="80"/>
        <v>2.5025980452259488E-4</v>
      </c>
      <c r="W140" s="98" t="str">
        <f t="shared" si="70"/>
        <v>1-0.000709069460950351i</v>
      </c>
      <c r="X140" s="160">
        <f t="shared" si="81"/>
        <v>1.0000002513897186</v>
      </c>
      <c r="Y140" s="160">
        <f t="shared" si="82"/>
        <v>-7.0906934211519045E-4</v>
      </c>
      <c r="Z140" s="98" t="str">
        <f t="shared" si="71"/>
        <v>0.999988983085187-0.00485486543000428i</v>
      </c>
      <c r="AA140" s="160">
        <f t="shared" si="83"/>
        <v>1.00000076800475</v>
      </c>
      <c r="AB140" s="160">
        <f t="shared" si="84"/>
        <v>-4.8548807729075693E-3</v>
      </c>
      <c r="AC140" s="171" t="str">
        <f t="shared" si="85"/>
        <v>0.00386959463220107-0.72514277910188i</v>
      </c>
      <c r="AD140" s="190">
        <f t="shared" si="86"/>
        <v>-2.7914057972875268</v>
      </c>
      <c r="AE140" s="169">
        <f t="shared" si="87"/>
        <v>-89.694254231348239</v>
      </c>
      <c r="AF140" s="98" t="str">
        <f t="shared" si="72"/>
        <v>-0.0000119284294234592</v>
      </c>
      <c r="AG140" s="98" t="str">
        <f t="shared" si="73"/>
        <v>5.84168960902362E-06i</v>
      </c>
      <c r="AH140" s="98">
        <f t="shared" si="88"/>
        <v>5.8416896090236197E-6</v>
      </c>
      <c r="AI140" s="98">
        <f t="shared" si="89"/>
        <v>1.5707963267948966</v>
      </c>
      <c r="AJ140" s="98" t="str">
        <f t="shared" si="74"/>
        <v>1+0.00504492422871643i</v>
      </c>
      <c r="AK140" s="98">
        <f t="shared" si="90"/>
        <v>1.000012725549267</v>
      </c>
      <c r="AL140" s="98">
        <f t="shared" si="91"/>
        <v>5.0448814294764667E-3</v>
      </c>
      <c r="AM140" s="98" t="str">
        <f t="shared" si="75"/>
        <v>1+12.8466702336887i</v>
      </c>
      <c r="AN140" s="98">
        <f t="shared" si="92"/>
        <v>12.885532045404384</v>
      </c>
      <c r="AO140" s="98">
        <f t="shared" si="93"/>
        <v>1.4931117950658854</v>
      </c>
      <c r="AP140" s="168" t="str">
        <f t="shared" si="94"/>
        <v>-26.2212703691435+2.17423283740229i</v>
      </c>
      <c r="AQ140" s="98">
        <f t="shared" si="95"/>
        <v>28.402832330298871</v>
      </c>
      <c r="AR140" s="169">
        <f t="shared" si="96"/>
        <v>175.2599537844246</v>
      </c>
      <c r="AS140" s="168" t="str">
        <f t="shared" si="97"/>
        <v>1.47516355505853+19.0225782667793i</v>
      </c>
      <c r="AT140" s="190">
        <f t="shared" si="98"/>
        <v>25.611426533011365</v>
      </c>
      <c r="AU140" s="169">
        <f t="shared" si="99"/>
        <v>85.565699553076385</v>
      </c>
      <c r="AV140" s="225"/>
      <c r="AX140">
        <f t="shared" si="100"/>
        <v>0</v>
      </c>
      <c r="AY140">
        <f t="shared" si="101"/>
        <v>0</v>
      </c>
    </row>
    <row r="141" spans="14:51" x14ac:dyDescent="0.2">
      <c r="N141" s="170">
        <v>23</v>
      </c>
      <c r="O141" s="199">
        <f t="shared" si="102"/>
        <v>169.82436524617444</v>
      </c>
      <c r="P141" s="189" t="str">
        <f t="shared" si="67"/>
        <v>771.276595744681</v>
      </c>
      <c r="Q141" s="160" t="str">
        <f t="shared" si="68"/>
        <v>1+1088.37871564618i</v>
      </c>
      <c r="R141" s="160">
        <f t="shared" si="77"/>
        <v>1088.3791750449968</v>
      </c>
      <c r="S141" s="160">
        <f t="shared" si="78"/>
        <v>1.5698775292254219</v>
      </c>
      <c r="T141" s="160" t="str">
        <f t="shared" si="69"/>
        <v>1+0.000256089109563806i</v>
      </c>
      <c r="U141" s="160">
        <f t="shared" si="79"/>
        <v>1.0000000327908156</v>
      </c>
      <c r="V141" s="160">
        <f t="shared" si="80"/>
        <v>2.5608910396555896E-4</v>
      </c>
      <c r="W141" s="98" t="str">
        <f t="shared" si="70"/>
        <v>1-0.000725585810430784i</v>
      </c>
      <c r="X141" s="160">
        <f t="shared" si="81"/>
        <v>1.0000002632373495</v>
      </c>
      <c r="Y141" s="160">
        <f t="shared" si="82"/>
        <v>-7.2558568309661698E-4</v>
      </c>
      <c r="Z141" s="98" t="str">
        <f t="shared" si="71"/>
        <v>0.999988463873988-0.00496794977298945i</v>
      </c>
      <c r="AA141" s="160">
        <f t="shared" si="83"/>
        <v>1.0000008042026791</v>
      </c>
      <c r="AB141" s="160">
        <f t="shared" si="84"/>
        <v>-4.9679662131998561E-3</v>
      </c>
      <c r="AC141" s="171" t="str">
        <f t="shared" si="85"/>
        <v>0.00383890921784612-0.708636203517608i</v>
      </c>
      <c r="AD141" s="190">
        <f t="shared" si="86"/>
        <v>-2.9914058231865996</v>
      </c>
      <c r="AE141" s="169">
        <f t="shared" si="87"/>
        <v>-89.689613452742321</v>
      </c>
      <c r="AF141" s="98" t="str">
        <f t="shared" si="72"/>
        <v>-0.0000119284294234592</v>
      </c>
      <c r="AG141" s="98" t="str">
        <f t="shared" si="73"/>
        <v>5.97776003999317E-06i</v>
      </c>
      <c r="AH141" s="98">
        <f t="shared" si="88"/>
        <v>5.97776003999317E-6</v>
      </c>
      <c r="AI141" s="98">
        <f t="shared" si="89"/>
        <v>1.5707963267948966</v>
      </c>
      <c r="AJ141" s="98" t="str">
        <f t="shared" si="74"/>
        <v>1+0.00516243560983289i</v>
      </c>
      <c r="AK141" s="98">
        <f t="shared" si="90"/>
        <v>1.0000133252819312</v>
      </c>
      <c r="AL141" s="98">
        <f t="shared" si="91"/>
        <v>5.1623897496540245E-3</v>
      </c>
      <c r="AM141" s="98" t="str">
        <f t="shared" si="75"/>
        <v>1+13.1459076242754i</v>
      </c>
      <c r="AN141" s="98">
        <f t="shared" si="92"/>
        <v>13.183887411002193</v>
      </c>
      <c r="AO141" s="98">
        <f t="shared" si="93"/>
        <v>1.4948732447524287</v>
      </c>
      <c r="AP141" s="168" t="str">
        <f t="shared" si="94"/>
        <v>-26.2212389180673+2.13083354986252i</v>
      </c>
      <c r="AQ141" s="98">
        <f t="shared" si="95"/>
        <v>28.401649725227745</v>
      </c>
      <c r="AR141" s="169">
        <f t="shared" si="96"/>
        <v>175.35414468648432</v>
      </c>
      <c r="AS141" s="168" t="str">
        <f t="shared" si="97"/>
        <v>1.40932484131661+18.5894992749836i</v>
      </c>
      <c r="AT141" s="190">
        <f t="shared" si="98"/>
        <v>25.410243902041131</v>
      </c>
      <c r="AU141" s="169">
        <f t="shared" si="99"/>
        <v>85.664531233741982</v>
      </c>
      <c r="AV141" s="225"/>
      <c r="AX141">
        <f t="shared" si="100"/>
        <v>0</v>
      </c>
      <c r="AY141">
        <f t="shared" si="101"/>
        <v>0</v>
      </c>
    </row>
    <row r="142" spans="14:51" x14ac:dyDescent="0.2">
      <c r="N142" s="170">
        <v>24</v>
      </c>
      <c r="O142" s="199">
        <f t="shared" si="102"/>
        <v>173.78008287493768</v>
      </c>
      <c r="P142" s="189" t="str">
        <f t="shared" si="67"/>
        <v>771.276595744681</v>
      </c>
      <c r="Q142" s="160" t="str">
        <f t="shared" si="68"/>
        <v>1+1113.73031266827i</v>
      </c>
      <c r="R142" s="160">
        <f t="shared" si="77"/>
        <v>1113.7307616098976</v>
      </c>
      <c r="S142" s="160">
        <f t="shared" si="78"/>
        <v>1.5698984436001107</v>
      </c>
      <c r="T142" s="160" t="str">
        <f t="shared" si="69"/>
        <v>1+0.000262054191216062i</v>
      </c>
      <c r="U142" s="160">
        <f t="shared" si="79"/>
        <v>1.000000034336199</v>
      </c>
      <c r="V142" s="160">
        <f t="shared" si="80"/>
        <v>2.6205418521743222E-4</v>
      </c>
      <c r="W142" s="98" t="str">
        <f t="shared" si="70"/>
        <v>1-0.000742486875112176i</v>
      </c>
      <c r="X142" s="160">
        <f t="shared" si="81"/>
        <v>1.0000002756433419</v>
      </c>
      <c r="Y142" s="160">
        <f t="shared" si="82"/>
        <v>-7.4248673867115993E-4</v>
      </c>
      <c r="Z142" s="98" t="str">
        <f t="shared" si="71"/>
        <v>0.999987920193118-0.00508366818870289i</v>
      </c>
      <c r="AA142" s="160">
        <f t="shared" si="83"/>
        <v>1.0000008421068507</v>
      </c>
      <c r="AB142" s="160">
        <f t="shared" si="84"/>
        <v>-5.0836858046982474E-3</v>
      </c>
      <c r="AC142" s="171" t="str">
        <f t="shared" si="85"/>
        <v>0.00380960486972177-0.692505353689462i</v>
      </c>
      <c r="AD142" s="190">
        <f t="shared" si="86"/>
        <v>-3.1914058662286973</v>
      </c>
      <c r="AE142" s="169">
        <f t="shared" si="87"/>
        <v>-89.684808099116864</v>
      </c>
      <c r="AF142" s="98" t="str">
        <f t="shared" si="72"/>
        <v>-0.0000119284294234592</v>
      </c>
      <c r="AG142" s="98" t="str">
        <f t="shared" si="73"/>
        <v>6.11699995846093E-06i</v>
      </c>
      <c r="AH142" s="98">
        <f t="shared" si="88"/>
        <v>6.11699995846093E-6</v>
      </c>
      <c r="AI142" s="98">
        <f t="shared" si="89"/>
        <v>1.5707963267948966</v>
      </c>
      <c r="AJ142" s="98" t="str">
        <f t="shared" si="74"/>
        <v>1+0.00528268418264264i</v>
      </c>
      <c r="AK142" s="98">
        <f t="shared" si="90"/>
        <v>1.0000139532787398</v>
      </c>
      <c r="AL142" s="98">
        <f t="shared" si="91"/>
        <v>5.2826350426126755E-3</v>
      </c>
      <c r="AM142" s="98" t="str">
        <f t="shared" si="75"/>
        <v>1+13.4521151490912i</v>
      </c>
      <c r="AN142" s="98">
        <f t="shared" si="92"/>
        <v>13.489232816747178</v>
      </c>
      <c r="AO142" s="98">
        <f t="shared" si="93"/>
        <v>1.4965950551955691</v>
      </c>
      <c r="AP142" s="168" t="str">
        <f t="shared" si="94"/>
        <v>-26.2212059848286+2.0885640431682i</v>
      </c>
      <c r="AQ142" s="98">
        <f t="shared" si="95"/>
        <v>28.400519568159233</v>
      </c>
      <c r="AR142" s="169">
        <f t="shared" si="96"/>
        <v>175.44590761020498</v>
      </c>
      <c r="AS142" s="168" t="str">
        <f t="shared" si="97"/>
        <v>1.34644934740751+18.1662821284375i</v>
      </c>
      <c r="AT142" s="190">
        <f t="shared" si="98"/>
        <v>25.209113701930516</v>
      </c>
      <c r="AU142" s="169">
        <f t="shared" si="99"/>
        <v>85.761099511088105</v>
      </c>
      <c r="AV142" s="225"/>
      <c r="AX142">
        <f t="shared" si="100"/>
        <v>0</v>
      </c>
      <c r="AY142">
        <f t="shared" si="101"/>
        <v>0</v>
      </c>
    </row>
    <row r="143" spans="14:51" x14ac:dyDescent="0.2">
      <c r="N143" s="170">
        <v>25</v>
      </c>
      <c r="O143" s="199">
        <f t="shared" si="102"/>
        <v>177.82794100389242</v>
      </c>
      <c r="P143" s="189" t="str">
        <f t="shared" si="67"/>
        <v>771.276595744681</v>
      </c>
      <c r="Q143" s="160" t="str">
        <f t="shared" si="68"/>
        <v>1+1139.67242424409i</v>
      </c>
      <c r="R143" s="160">
        <f t="shared" si="77"/>
        <v>1139.6728629665624</v>
      </c>
      <c r="S143" s="160">
        <f t="shared" si="78"/>
        <v>1.5699188819062684</v>
      </c>
      <c r="T143" s="160" t="str">
        <f t="shared" si="69"/>
        <v>1+0.000268158217469198i</v>
      </c>
      <c r="U143" s="160">
        <f t="shared" si="79"/>
        <v>1.0000000359544141</v>
      </c>
      <c r="V143" s="160">
        <f t="shared" si="80"/>
        <v>2.681582110415504E-4</v>
      </c>
      <c r="W143" s="98" t="str">
        <f t="shared" si="70"/>
        <v>1-0.000759781616162728i</v>
      </c>
      <c r="X143" s="160">
        <f t="shared" si="81"/>
        <v>1.0000002886340105</v>
      </c>
      <c r="Y143" s="160">
        <f t="shared" si="82"/>
        <v>-7.5978146996354752E-4</v>
      </c>
      <c r="Z143" s="98" t="str">
        <f t="shared" si="71"/>
        <v>0.999987350889359-0.00520208203258028i</v>
      </c>
      <c r="AA143" s="160">
        <f t="shared" si="83"/>
        <v>1.0000008817977071</v>
      </c>
      <c r="AB143" s="160">
        <f t="shared" si="84"/>
        <v>-5.2021009084509953E-3</v>
      </c>
      <c r="AC143" s="171" t="str">
        <f t="shared" si="85"/>
        <v>0.00378161942968468-0.676741676996781i</v>
      </c>
      <c r="AD143" s="190">
        <f t="shared" si="86"/>
        <v>-3.3914059265051582</v>
      </c>
      <c r="AE143" s="169">
        <f t="shared" si="87"/>
        <v>-89.679835622317555</v>
      </c>
      <c r="AF143" s="98" t="str">
        <f t="shared" si="72"/>
        <v>-0.0000119284294234592</v>
      </c>
      <c r="AG143" s="98" t="str">
        <f t="shared" si="73"/>
        <v>6.25948319127474E-06i</v>
      </c>
      <c r="AH143" s="98">
        <f t="shared" si="88"/>
        <v>6.2594831912747399E-6</v>
      </c>
      <c r="AI143" s="98">
        <f t="shared" si="89"/>
        <v>1.5707963267948966</v>
      </c>
      <c r="AJ143" s="98" t="str">
        <f t="shared" si="74"/>
        <v>1+0.00540573370453062i</v>
      </c>
      <c r="AK143" s="98">
        <f t="shared" si="90"/>
        <v>1.0000146108717034</v>
      </c>
      <c r="AL143" s="98">
        <f t="shared" si="91"/>
        <v>5.4056810500814024E-3</v>
      </c>
      <c r="AM143" s="98" t="str">
        <f t="shared" si="75"/>
        <v>1+13.7654551634188i</v>
      </c>
      <c r="AN143" s="98">
        <f t="shared" si="92"/>
        <v>13.801730176180568</v>
      </c>
      <c r="AO143" s="98">
        <f t="shared" si="93"/>
        <v>1.4982780984628759</v>
      </c>
      <c r="AP143" s="168" t="str">
        <f t="shared" si="94"/>
        <v>-26.2211714995826+2.04740190437266i</v>
      </c>
      <c r="AQ143" s="98">
        <f t="shared" si="95"/>
        <v>28.399439502010488</v>
      </c>
      <c r="AR143" s="169">
        <f t="shared" si="96"/>
        <v>175.53528886924565</v>
      </c>
      <c r="AS143" s="168" t="str">
        <f t="shared" si="97"/>
        <v>1.28640370663964+17.7527020682697i</v>
      </c>
      <c r="AT143" s="190">
        <f t="shared" si="98"/>
        <v>25.00803357550534</v>
      </c>
      <c r="AU143" s="169">
        <f t="shared" si="99"/>
        <v>85.855453246928107</v>
      </c>
      <c r="AV143" s="225"/>
      <c r="AX143">
        <f t="shared" si="100"/>
        <v>0</v>
      </c>
      <c r="AY143">
        <f t="shared" si="101"/>
        <v>0</v>
      </c>
    </row>
    <row r="144" spans="14:51" x14ac:dyDescent="0.2">
      <c r="N144" s="170">
        <v>26</v>
      </c>
      <c r="O144" s="199">
        <f t="shared" si="102"/>
        <v>181.9700858609983</v>
      </c>
      <c r="P144" s="189" t="str">
        <f t="shared" si="67"/>
        <v>771.276595744681</v>
      </c>
      <c r="Q144" s="160" t="str">
        <f t="shared" si="68"/>
        <v>1+1166.21880522459i</v>
      </c>
      <c r="R144" s="160">
        <f t="shared" si="77"/>
        <v>1166.2192339605235</v>
      </c>
      <c r="S144" s="160">
        <f t="shared" si="78"/>
        <v>1.5699388549804874</v>
      </c>
      <c r="T144" s="160" t="str">
        <f t="shared" si="69"/>
        <v>1+0.000274404424758727i</v>
      </c>
      <c r="U144" s="160">
        <f t="shared" si="79"/>
        <v>1.0000000376488933</v>
      </c>
      <c r="V144" s="160">
        <f t="shared" si="80"/>
        <v>2.7440441787137857E-4</v>
      </c>
      <c r="W144" s="98" t="str">
        <f t="shared" si="70"/>
        <v>1-0.000777479203483059i</v>
      </c>
      <c r="X144" s="160">
        <f t="shared" si="81"/>
        <v>1.0000003022369102</v>
      </c>
      <c r="Y144" s="160">
        <f t="shared" si="82"/>
        <v>-7.7747904682781731E-4</v>
      </c>
      <c r="Z144" s="98" t="str">
        <f t="shared" si="71"/>
        <v>0.999986754755141-0.00532325408920899i</v>
      </c>
      <c r="AA144" s="160">
        <f t="shared" si="83"/>
        <v>1.0000009233594822</v>
      </c>
      <c r="AB144" s="160">
        <f t="shared" si="84"/>
        <v>-5.3232743150594466E-3</v>
      </c>
      <c r="AC144" s="171" t="str">
        <f t="shared" si="85"/>
        <v>0.00375489353714489-0.661336815487613i</v>
      </c>
      <c r="AD144" s="190">
        <f t="shared" si="86"/>
        <v>-3.5914060041443605</v>
      </c>
      <c r="AE144" s="169">
        <f t="shared" si="87"/>
        <v>-89.674693385558953</v>
      </c>
      <c r="AF144" s="98" t="str">
        <f t="shared" si="72"/>
        <v>-0.0000119284294234592</v>
      </c>
      <c r="AG144" s="98" t="str">
        <f t="shared" si="73"/>
        <v>0.0000064052852849306i</v>
      </c>
      <c r="AH144" s="98">
        <f t="shared" si="88"/>
        <v>6.4052852849306002E-6</v>
      </c>
      <c r="AI144" s="98">
        <f t="shared" si="89"/>
        <v>1.5707963267948966</v>
      </c>
      <c r="AJ144" s="98" t="str">
        <f t="shared" si="74"/>
        <v>1+0.00553164941798202i</v>
      </c>
      <c r="AK144" s="98">
        <f t="shared" si="90"/>
        <v>1.0000152994556051</v>
      </c>
      <c r="AL144" s="98">
        <f t="shared" si="91"/>
        <v>5.5315929977697966E-3</v>
      </c>
      <c r="AM144" s="98" t="str">
        <f t="shared" si="75"/>
        <v>1+14.0860938042813i</v>
      </c>
      <c r="AN144" s="98">
        <f t="shared" si="92"/>
        <v>14.121545193887671</v>
      </c>
      <c r="AO144" s="98">
        <f t="shared" si="93"/>
        <v>1.4999232287652231</v>
      </c>
      <c r="AP144" s="168" t="str">
        <f t="shared" si="94"/>
        <v>-26.2211353891943+2.00732530759203i</v>
      </c>
      <c r="AQ144" s="98">
        <f t="shared" si="95"/>
        <v>28.398407272442164</v>
      </c>
      <c r="AR144" s="169">
        <f t="shared" si="96"/>
        <v>175.62233366912642</v>
      </c>
      <c r="AS144" s="168" t="str">
        <f t="shared" si="97"/>
        <v>1.22906055476112+17.3485394695837i</v>
      </c>
      <c r="AT144" s="190">
        <f t="shared" si="98"/>
        <v>24.807001268297782</v>
      </c>
      <c r="AU144" s="169">
        <f t="shared" si="99"/>
        <v>85.947640283567466</v>
      </c>
      <c r="AV144" s="225"/>
      <c r="AX144">
        <f t="shared" si="100"/>
        <v>0</v>
      </c>
      <c r="AY144">
        <f t="shared" si="101"/>
        <v>0</v>
      </c>
    </row>
    <row r="145" spans="14:51" x14ac:dyDescent="0.2">
      <c r="N145" s="170">
        <v>27</v>
      </c>
      <c r="O145" s="199">
        <f t="shared" si="102"/>
        <v>186.20871366628685</v>
      </c>
      <c r="P145" s="189" t="str">
        <f t="shared" si="67"/>
        <v>771.276595744681</v>
      </c>
      <c r="Q145" s="160" t="str">
        <f t="shared" si="68"/>
        <v>1+1193.38353085236i</v>
      </c>
      <c r="R145" s="160">
        <f t="shared" si="77"/>
        <v>1193.3839498290756</v>
      </c>
      <c r="S145" s="160">
        <f t="shared" si="78"/>
        <v>1.5699583734126923</v>
      </c>
      <c r="T145" s="160" t="str">
        <f t="shared" si="69"/>
        <v>1+0.000280796124906437i</v>
      </c>
      <c r="U145" s="160">
        <f t="shared" si="79"/>
        <v>1.0000000394232311</v>
      </c>
      <c r="V145" s="160">
        <f t="shared" si="80"/>
        <v>2.8079611752651021E-4</v>
      </c>
      <c r="W145" s="98" t="str">
        <f t="shared" si="70"/>
        <v>1-0.000795589020568236i</v>
      </c>
      <c r="X145" s="160">
        <f t="shared" si="81"/>
        <v>1.0000003164808946</v>
      </c>
      <c r="Y145" s="160">
        <f t="shared" si="82"/>
        <v>-7.9558885270912311E-4</v>
      </c>
      <c r="Z145" s="98" t="str">
        <f t="shared" si="71"/>
        <v>0.999986130525982-0.00544724860561742i</v>
      </c>
      <c r="AA145" s="160">
        <f t="shared" si="83"/>
        <v>1.0000009668803813</v>
      </c>
      <c r="AB145" s="160">
        <f t="shared" si="84"/>
        <v>-5.4472702779960859E-3</v>
      </c>
      <c r="AC145" s="171" t="str">
        <f t="shared" si="85"/>
        <v>0.00372937050315703-0.646282601448018i</v>
      </c>
      <c r="AD145" s="190">
        <f t="shared" si="86"/>
        <v>-3.791406099311454</v>
      </c>
      <c r="AE145" s="169">
        <f t="shared" si="87"/>
        <v>-89.669378662024712</v>
      </c>
      <c r="AF145" s="98" t="str">
        <f t="shared" si="72"/>
        <v>-0.0000119284294234592</v>
      </c>
      <c r="AG145" s="98" t="str">
        <f t="shared" si="73"/>
        <v>6.55448354562852E-06i</v>
      </c>
      <c r="AH145" s="98">
        <f t="shared" si="88"/>
        <v>6.5544835456285201E-6</v>
      </c>
      <c r="AI145" s="98">
        <f t="shared" si="89"/>
        <v>1.5707963267948966</v>
      </c>
      <c r="AJ145" s="98" t="str">
        <f t="shared" si="74"/>
        <v>1+0.00566049808517491i</v>
      </c>
      <c r="AK145" s="98">
        <f t="shared" si="90"/>
        <v>1.0000160204909581</v>
      </c>
      <c r="AL145" s="98">
        <f t="shared" si="91"/>
        <v>5.6604376298806146E-3</v>
      </c>
      <c r="AM145" s="98" t="str">
        <f t="shared" si="75"/>
        <v>1+14.4142010785304i</v>
      </c>
      <c r="AN145" s="98">
        <f t="shared" si="92"/>
        <v>14.448847453423644</v>
      </c>
      <c r="AO145" s="98">
        <f t="shared" si="93"/>
        <v>1.5015312827327403</v>
      </c>
      <c r="AP145" s="168" t="str">
        <f t="shared" si="94"/>
        <v>-26.2210975770824+1.96831300242733i</v>
      </c>
      <c r="AQ145" s="98">
        <f t="shared" si="95"/>
        <v>28.3974207233817</v>
      </c>
      <c r="AR145" s="169">
        <f t="shared" si="96"/>
        <v>175.70708612106154</v>
      </c>
      <c r="AS145" s="168" t="str">
        <f t="shared" si="97"/>
        <v>1.17429825980832+16.9535797233914i</v>
      </c>
      <c r="AT145" s="190">
        <f t="shared" si="98"/>
        <v>24.606014624070262</v>
      </c>
      <c r="AU145" s="169">
        <f t="shared" si="99"/>
        <v>86.037707459036852</v>
      </c>
      <c r="AV145" s="225"/>
      <c r="AX145">
        <f t="shared" si="100"/>
        <v>0</v>
      </c>
      <c r="AY145">
        <f t="shared" si="101"/>
        <v>0</v>
      </c>
    </row>
    <row r="146" spans="14:51" x14ac:dyDescent="0.2">
      <c r="N146" s="170">
        <v>28</v>
      </c>
      <c r="O146" s="199">
        <f t="shared" si="102"/>
        <v>190.54607179632498</v>
      </c>
      <c r="P146" s="189" t="str">
        <f t="shared" si="67"/>
        <v>771.276595744681</v>
      </c>
      <c r="Q146" s="160" t="str">
        <f t="shared" si="68"/>
        <v>1+1221.18100422449i</v>
      </c>
      <c r="R146" s="160">
        <f t="shared" si="77"/>
        <v>1221.1814136641344</v>
      </c>
      <c r="S146" s="160">
        <f t="shared" si="78"/>
        <v>1.5699774475517545</v>
      </c>
      <c r="T146" s="160" t="str">
        <f t="shared" si="69"/>
        <v>1+0.00028733670687635i</v>
      </c>
      <c r="U146" s="160">
        <f t="shared" si="79"/>
        <v>1.0000000412811907</v>
      </c>
      <c r="V146" s="160">
        <f t="shared" si="80"/>
        <v>2.8733669896861597E-4</v>
      </c>
      <c r="W146" s="98" t="str">
        <f t="shared" si="70"/>
        <v>1-0.000814120669482991i</v>
      </c>
      <c r="X146" s="160">
        <f t="shared" si="81"/>
        <v>1.0000003313961774</v>
      </c>
      <c r="Y146" s="160">
        <f t="shared" si="82"/>
        <v>-8.1412048961871416E-4</v>
      </c>
      <c r="Z146" s="98" t="str">
        <f t="shared" si="71"/>
        <v>0.999985476877809-0.00557413132533946i</v>
      </c>
      <c r="AA146" s="160">
        <f t="shared" si="83"/>
        <v>1.0000010124527732</v>
      </c>
      <c r="AB146" s="160">
        <f t="shared" si="84"/>
        <v>-5.5741545476997393E-3</v>
      </c>
      <c r="AC146" s="171" t="str">
        <f t="shared" si="85"/>
        <v>0.00370499619017737-0.631571053072139i</v>
      </c>
      <c r="AD146" s="190">
        <f t="shared" si="86"/>
        <v>-3.991406212208735</v>
      </c>
      <c r="AE146" s="169">
        <f t="shared" si="87"/>
        <v>-89.663888633420385</v>
      </c>
      <c r="AF146" s="98" t="str">
        <f t="shared" si="72"/>
        <v>-0.0000119284294234592</v>
      </c>
      <c r="AG146" s="98" t="str">
        <f t="shared" si="73"/>
        <v>6.70715708026118E-06i</v>
      </c>
      <c r="AH146" s="98">
        <f t="shared" si="88"/>
        <v>6.7071570802611802E-6</v>
      </c>
      <c r="AI146" s="98">
        <f t="shared" si="89"/>
        <v>1.5707963267948966</v>
      </c>
      <c r="AJ146" s="98" t="str">
        <f t="shared" si="74"/>
        <v>1+0.00579234802337816i</v>
      </c>
      <c r="AK146" s="98">
        <f t="shared" si="90"/>
        <v>1.0000167755071032</v>
      </c>
      <c r="AL146" s="98">
        <f t="shared" si="91"/>
        <v>5.7922832444219094E-3</v>
      </c>
      <c r="AM146" s="98" t="str">
        <f t="shared" si="75"/>
        <v>1+14.749950952986i</v>
      </c>
      <c r="AN146" s="98">
        <f t="shared" si="92"/>
        <v>14.783810507291163</v>
      </c>
      <c r="AO146" s="98">
        <f t="shared" si="93"/>
        <v>1.503103079692915</v>
      </c>
      <c r="AP146" s="168" t="str">
        <f t="shared" si="94"/>
        <v>-26.2210579830579+1.9303443026912i</v>
      </c>
      <c r="AQ146" s="98">
        <f t="shared" si="95"/>
        <v>28.396477792729176</v>
      </c>
      <c r="AR146" s="169">
        <f t="shared" si="96"/>
        <v>175.78958925587054</v>
      </c>
      <c r="AS146" s="168" t="str">
        <f t="shared" si="97"/>
        <v>1.12200066411284+16.5676131213127i</v>
      </c>
      <c r="AT146" s="190">
        <f t="shared" si="98"/>
        <v>24.405071580520442</v>
      </c>
      <c r="AU146" s="169">
        <f t="shared" si="99"/>
        <v>86.125700622450154</v>
      </c>
      <c r="AV146" s="225"/>
      <c r="AX146">
        <f t="shared" si="100"/>
        <v>0</v>
      </c>
      <c r="AY146">
        <f t="shared" si="101"/>
        <v>0</v>
      </c>
    </row>
    <row r="147" spans="14:51" x14ac:dyDescent="0.2">
      <c r="N147" s="170">
        <v>29</v>
      </c>
      <c r="O147" s="199">
        <f t="shared" si="102"/>
        <v>194.98445997580458</v>
      </c>
      <c r="P147" s="189" t="str">
        <f t="shared" ref="P147:P210" si="103">COMPLEX(Adc,0)</f>
        <v>771.276595744681</v>
      </c>
      <c r="Q147" s="160" t="str">
        <f t="shared" ref="Q147:Q210" si="104">IMSUM(COMPLEX(1,0),IMDIV(COMPLEX(0,2*PI()*O147),COMPLEX(wp_lf,0)))</f>
        <v>1+1249.62596392929i</v>
      </c>
      <c r="R147" s="160">
        <f t="shared" si="77"/>
        <v>1249.6263640489535</v>
      </c>
      <c r="S147" s="160">
        <f t="shared" si="78"/>
        <v>1.5699960875109795</v>
      </c>
      <c r="T147" s="160" t="str">
        <f t="shared" ref="T147:T210" si="105">IMSUM(COMPLEX(1,0),IMDIV(COMPLEX(0,2*PI()*O147),COMPLEX(wz_esr,0)))</f>
        <v>1+0.000294029638571597i</v>
      </c>
      <c r="U147" s="160">
        <f t="shared" si="79"/>
        <v>1.0000000432267133</v>
      </c>
      <c r="V147" s="160">
        <f t="shared" si="80"/>
        <v>2.9402963009830731E-4</v>
      </c>
      <c r="W147" s="98" t="str">
        <f t="shared" ref="W147:W210" si="106">IMSUB(COMPLEX(1,0),IMDIV(COMPLEX(0,2*PI()*O147),COMPLEX(wz_rhp,0)))</f>
        <v>1-0.000833083975952856i</v>
      </c>
      <c r="X147" s="160">
        <f t="shared" si="81"/>
        <v>1.0000003470143952</v>
      </c>
      <c r="Y147" s="160">
        <f t="shared" si="82"/>
        <v>-8.3308378322481474E-4</v>
      </c>
      <c r="Z147" s="98" t="str">
        <f t="shared" ref="Z147:Z210" si="107">IF(Dc_Mode_Loop="CCM",IMSUM(COMPLEX(1,0),IMDIV(COMPLEX(0,2*PI()*O147),COMPLEX(Q*(wsl/2),0)),IMDIV(IMPOWER(COMPLEX(0,2*PI()*O147),2),IMPOWER(COMPLEX(wsl/2,0),2))),COMPLEX(1,0))</f>
        <v>0.999984792424147-0.00570396952327247i</v>
      </c>
      <c r="AA147" s="160">
        <f t="shared" si="83"/>
        <v>1.0000010601733813</v>
      </c>
      <c r="AB147" s="160">
        <f t="shared" si="84"/>
        <v>-5.7039944064665241E-3</v>
      </c>
      <c r="AC147" s="171" t="str">
        <f t="shared" si="85"/>
        <v>0.00368171889723279-0.617194370230797i</v>
      </c>
      <c r="AD147" s="190">
        <f t="shared" si="86"/>
        <v>-4.1914063430761264</v>
      </c>
      <c r="AE147" s="169">
        <f t="shared" si="87"/>
        <v>-89.658220388477375</v>
      </c>
      <c r="AF147" s="98" t="str">
        <f t="shared" ref="AF147:AF210" si="108">COMPLEX(Adc_ea,0)</f>
        <v>-0.0000119284294234592</v>
      </c>
      <c r="AG147" s="98" t="str">
        <f t="shared" ref="AG147:AG210" si="109">COMPLEX(0,2*PI()*O147*wp0_ea)</f>
        <v>6.86338683835751E-06i</v>
      </c>
      <c r="AH147" s="98">
        <f t="shared" si="88"/>
        <v>6.8633868383575099E-6</v>
      </c>
      <c r="AI147" s="98">
        <f t="shared" si="89"/>
        <v>1.5707963267948966</v>
      </c>
      <c r="AJ147" s="98" t="str">
        <f t="shared" ref="AJ147:AJ210" si="110">IMSUM(COMPLEX(1,0),IMDIV(COMPLEX(0,2*PI()*O147),COMPLEX(wp1_ea,0)))</f>
        <v>1+0.00592726914117411i</v>
      </c>
      <c r="AK147" s="98">
        <f t="shared" si="90"/>
        <v>1.0000175661054518</v>
      </c>
      <c r="AL147" s="98">
        <f t="shared" si="91"/>
        <v>5.9271997293377666E-3</v>
      </c>
      <c r="AM147" s="98" t="str">
        <f t="shared" ref="AM147:AM210" si="111">IMSUM(COMPLEX(1,0),IMDIV(COMPLEX(0,2*PI()*O147),COMPLEX(wz_ea,0)))</f>
        <v>1+15.0935214466753i</v>
      </c>
      <c r="AN147" s="98">
        <f t="shared" si="92"/>
        <v>15.126611969018285</v>
      </c>
      <c r="AO147" s="98">
        <f t="shared" si="93"/>
        <v>1.5046394219502661</v>
      </c>
      <c r="AP147" s="168" t="str">
        <f t="shared" si="94"/>
        <v>-26.221016523152+1.89339907543336i</v>
      </c>
      <c r="AQ147" s="98">
        <f t="shared" si="95"/>
        <v>28.395576508237355</v>
      </c>
      <c r="AR147" s="169">
        <f t="shared" si="96"/>
        <v>175.86988503793197</v>
      </c>
      <c r="AS147" s="168" t="str">
        <f t="shared" si="97"/>
        <v>1.07205683791972+16.1904347429741i</v>
      </c>
      <c r="AT147" s="190">
        <f t="shared" si="98"/>
        <v>24.204170165161205</v>
      </c>
      <c r="AU147" s="169">
        <f t="shared" si="99"/>
        <v>86.211664649454605</v>
      </c>
      <c r="AV147" s="225"/>
      <c r="AX147">
        <f t="shared" si="100"/>
        <v>0</v>
      </c>
      <c r="AY147">
        <f t="shared" si="101"/>
        <v>0</v>
      </c>
    </row>
    <row r="148" spans="14:51" x14ac:dyDescent="0.2">
      <c r="N148" s="170">
        <v>30</v>
      </c>
      <c r="O148" s="199">
        <f t="shared" si="102"/>
        <v>199.52623149688802</v>
      </c>
      <c r="P148" s="189" t="str">
        <f t="shared" si="103"/>
        <v>771.276595744681</v>
      </c>
      <c r="Q148" s="160" t="str">
        <f t="shared" si="104"/>
        <v>1+1278.73349186092i</v>
      </c>
      <c r="R148" s="160">
        <f t="shared" ref="R148:R211" si="112">IMABS(Q148)</f>
        <v>1278.7338828727507</v>
      </c>
      <c r="S148" s="160">
        <f t="shared" ref="S148:S211" si="113">IMARGUMENT(Q148)</f>
        <v>1.5700143031734686</v>
      </c>
      <c r="T148" s="160" t="str">
        <f t="shared" si="105"/>
        <v>1+0.000300878468673158i</v>
      </c>
      <c r="U148" s="160">
        <f t="shared" ref="U148:U211" si="114">IMABS(T148)</f>
        <v>1.0000000452639255</v>
      </c>
      <c r="V148" s="160">
        <f t="shared" ref="V148:V211" si="115">IMARGUMENT(T148)</f>
        <v>3.0087845959386457E-4</v>
      </c>
      <c r="W148" s="98" t="str">
        <f t="shared" si="106"/>
        <v>1-0.000852488994573947i</v>
      </c>
      <c r="X148" s="160">
        <f t="shared" ref="X148:X211" si="116">IMABS(W148)</f>
        <v>1.0000003633686769</v>
      </c>
      <c r="Y148" s="160">
        <f t="shared" ref="Y148:Y211" si="117">IMARGUMENT(W148)</f>
        <v>-8.5248878806213409E-4</v>
      </c>
      <c r="Z148" s="98" t="str">
        <f t="shared" si="107"/>
        <v>0.999984075713178-0.00583683204134772i</v>
      </c>
      <c r="AA148" s="160">
        <f t="shared" ref="AA148:AA211" si="118">IMABS(Z148)</f>
        <v>1.0000011101434927</v>
      </c>
      <c r="AB148" s="160">
        <f t="shared" ref="AB148:AB211" si="119">IMARGUMENT(Z148)</f>
        <v>-5.8368587041555996E-3</v>
      </c>
      <c r="AC148" s="171" t="str">
        <f t="shared" ref="AC148:AC211" si="120">(IMDIV(IMPRODUCT(P148,T148,W148),IMPRODUCT(Q148,Z148)))</f>
        <v>0.00365948925025802-0.603144930336359i</v>
      </c>
      <c r="AD148" s="190">
        <f t="shared" ref="AD148:AD211" si="121">20*LOG(IMABS(AC148))</f>
        <v>-4.3914064921918836</v>
      </c>
      <c r="AE148" s="169">
        <f t="shared" ref="AE148:AE211" si="122">(180/PI())*IMARGUMENT(AC148)</f>
        <v>-89.652370921407382</v>
      </c>
      <c r="AF148" s="98" t="str">
        <f t="shared" si="108"/>
        <v>-0.0000119284294234592</v>
      </c>
      <c r="AG148" s="98" t="str">
        <f t="shared" si="109"/>
        <v>0.0000070232556550032i</v>
      </c>
      <c r="AH148" s="98">
        <f t="shared" ref="AH148:AH211" si="123">IMABS(AG148)</f>
        <v>7.0232556550032E-6</v>
      </c>
      <c r="AI148" s="98">
        <f t="shared" ref="AI148:AI211" si="124">IMARGUMENT(AG148)</f>
        <v>1.5707963267948966</v>
      </c>
      <c r="AJ148" s="98" t="str">
        <f t="shared" si="110"/>
        <v>1+0.00606533297552544i</v>
      </c>
      <c r="AK148" s="98">
        <f t="shared" ref="AK148:AK211" si="125">IMABS(AJ148)</f>
        <v>1.0000183939628831</v>
      </c>
      <c r="AL148" s="98">
        <f t="shared" ref="AL148:AL211" si="126">IMARGUMENT(AJ148)</f>
        <v>6.065258599476671E-3</v>
      </c>
      <c r="AM148" s="98" t="str">
        <f t="shared" si="111"/>
        <v>1+15.4450947252221i</v>
      </c>
      <c r="AN148" s="98">
        <f t="shared" ref="AN148:AN211" si="127">IMABS(AM148)</f>
        <v>15.477433607387356</v>
      </c>
      <c r="AO148" s="98">
        <f t="shared" ref="AO148:AO211" si="128">IMARGUMENT(AM148)</f>
        <v>1.5061410950670591</v>
      </c>
      <c r="AP148" s="168" t="str">
        <f t="shared" ref="AP148:AP211" si="129">IMPRODUCT(AF148,IMDIV(AM148,IMPRODUCT(AG148,AJ148)))</f>
        <v>-26.2209731094418+1.85745773025902i</v>
      </c>
      <c r="AQ148" s="98">
        <f t="shared" ref="AQ148:AQ211" si="130">20*LOG(IMABS(AP148))</f>
        <v>28.394714983562093</v>
      </c>
      <c r="AR148" s="169">
        <f t="shared" ref="AR148:AR211" si="131">(180/PI())*IMARGUMENT(AP148)</f>
        <v>175.94801437914916</v>
      </c>
      <c r="AS148" s="168" t="str">
        <f t="shared" ref="AS148:AS211" si="132">IMPRODUCT(AC148,AP148)</f>
        <v>1.0243608440945+15.8218443460425i</v>
      </c>
      <c r="AT148" s="190">
        <f t="shared" ref="AT148:AT211" si="133">20*LOG(IMABS(AS148))</f>
        <v>24.003308491370206</v>
      </c>
      <c r="AU148" s="169">
        <f t="shared" ref="AU148:AU211" si="134">(180/PI())*IMARGUMENT(AS148)</f>
        <v>86.295643457741775</v>
      </c>
      <c r="AV148" s="225"/>
      <c r="AX148">
        <f t="shared" ref="AX148:AX211" si="135">SUM((AT149&lt;0)*(AT148&gt;0))*O148</f>
        <v>0</v>
      </c>
      <c r="AY148">
        <f t="shared" ref="AY148:AY211" si="136">IF(AX148&gt;0,AU148,0)</f>
        <v>0</v>
      </c>
    </row>
    <row r="149" spans="14:51" x14ac:dyDescent="0.2">
      <c r="N149" s="170">
        <v>31</v>
      </c>
      <c r="O149" s="199">
        <f t="shared" si="102"/>
        <v>204.17379446695315</v>
      </c>
      <c r="P149" s="189" t="str">
        <f t="shared" si="103"/>
        <v>771.276595744681</v>
      </c>
      <c r="Q149" s="160" t="str">
        <f t="shared" si="104"/>
        <v>1+1308.51902121598i</v>
      </c>
      <c r="R149" s="160">
        <f t="shared" si="112"/>
        <v>1308.5194033272974</v>
      </c>
      <c r="S149" s="160">
        <f t="shared" si="113"/>
        <v>1.5700321041973588</v>
      </c>
      <c r="T149" s="160" t="str">
        <f t="shared" si="105"/>
        <v>1+0.000307886828521406i</v>
      </c>
      <c r="U149" s="160">
        <f t="shared" si="114"/>
        <v>1.0000000473971484</v>
      </c>
      <c r="V149" s="160">
        <f t="shared" si="115"/>
        <v>3.0788681879276785E-4</v>
      </c>
      <c r="W149" s="98" t="str">
        <f t="shared" si="106"/>
        <v>1-0.000872346014143983i</v>
      </c>
      <c r="X149" s="160">
        <f t="shared" si="116"/>
        <v>1.0000003804937116</v>
      </c>
      <c r="Y149" s="160">
        <f t="shared" si="117"/>
        <v>-8.7234579286259335E-4</v>
      </c>
      <c r="Z149" s="98" t="str">
        <f t="shared" si="107"/>
        <v>0.999983325224661-0.00597278932503087i</v>
      </c>
      <c r="AA149" s="160">
        <f t="shared" si="118"/>
        <v>1.00000116246917</v>
      </c>
      <c r="AB149" s="160">
        <f t="shared" si="119"/>
        <v>-5.9728178947275048E-3</v>
      </c>
      <c r="AC149" s="171" t="str">
        <f t="shared" si="120"/>
        <v>0.0036382600973683-0.589415284301741i</v>
      </c>
      <c r="AD149" s="190">
        <f t="shared" si="121"/>
        <v>-4.5914066598727921</v>
      </c>
      <c r="AE149" s="169">
        <f t="shared" si="122"/>
        <v>-89.646337130306947</v>
      </c>
      <c r="AF149" s="98" t="str">
        <f t="shared" si="108"/>
        <v>-0.0000119284294234592</v>
      </c>
      <c r="AG149" s="98" t="str">
        <f t="shared" si="109"/>
        <v>7.18684829476095E-06i</v>
      </c>
      <c r="AH149" s="98">
        <f t="shared" si="123"/>
        <v>7.1868482947609503E-6</v>
      </c>
      <c r="AI149" s="98">
        <f t="shared" si="124"/>
        <v>1.5707963267948966</v>
      </c>
      <c r="AJ149" s="98" t="str">
        <f t="shared" si="110"/>
        <v>1+0.00620661272970454i</v>
      </c>
      <c r="AK149" s="98">
        <f t="shared" si="125"/>
        <v>1.0000192608352985</v>
      </c>
      <c r="AL149" s="98">
        <f t="shared" si="126"/>
        <v>6.2065330344153397E-3</v>
      </c>
      <c r="AM149" s="98" t="str">
        <f t="shared" si="111"/>
        <v>1+15.8048571974322i</v>
      </c>
      <c r="AN149" s="98">
        <f t="shared" si="127"/>
        <v>15.836461442861044</v>
      </c>
      <c r="AO149" s="98">
        <f t="shared" si="128"/>
        <v>1.5076088681445499</v>
      </c>
      <c r="AP149" s="168" t="str">
        <f t="shared" si="129"/>
        <v>-26.2209276498605+1.82250120893435i</v>
      </c>
      <c r="AQ149" s="98">
        <f t="shared" si="130"/>
        <v>28.393891414472424</v>
      </c>
      <c r="AR149" s="169">
        <f t="shared" si="131"/>
        <v>176.02401715289722</v>
      </c>
      <c r="AS149" s="168" t="str">
        <f t="shared" si="132"/>
        <v>0.978811513419838+15.4616462588238i</v>
      </c>
      <c r="AT149" s="190">
        <f t="shared" si="133"/>
        <v>23.802484754599647</v>
      </c>
      <c r="AU149" s="169">
        <f t="shared" si="134"/>
        <v>86.377680022590283</v>
      </c>
      <c r="AV149" s="225"/>
      <c r="AX149">
        <f t="shared" si="135"/>
        <v>0</v>
      </c>
      <c r="AY149">
        <f t="shared" si="136"/>
        <v>0</v>
      </c>
    </row>
    <row r="150" spans="14:51" x14ac:dyDescent="0.2">
      <c r="N150" s="170">
        <v>32</v>
      </c>
      <c r="O150" s="199">
        <f t="shared" si="102"/>
        <v>208.92961308540396</v>
      </c>
      <c r="P150" s="189" t="str">
        <f t="shared" si="103"/>
        <v>771.276595744681</v>
      </c>
      <c r="Q150" s="160" t="str">
        <f t="shared" si="104"/>
        <v>1+1338.99834467639i</v>
      </c>
      <c r="R150" s="160">
        <f t="shared" si="112"/>
        <v>1338.998718089794</v>
      </c>
      <c r="S150" s="160">
        <f t="shared" si="113"/>
        <v>1.5700495000209436</v>
      </c>
      <c r="T150" s="160" t="str">
        <f t="shared" si="105"/>
        <v>1+0.000315058434041503i</v>
      </c>
      <c r="U150" s="160">
        <f t="shared" si="114"/>
        <v>1.0000000496309072</v>
      </c>
      <c r="V150" s="160">
        <f t="shared" si="115"/>
        <v>3.1505842361707941E-4</v>
      </c>
      <c r="W150" s="98" t="str">
        <f t="shared" si="106"/>
        <v>1-0.000892665563117591i</v>
      </c>
      <c r="X150" s="160">
        <f t="shared" si="116"/>
        <v>1.0000003984258246</v>
      </c>
      <c r="Y150" s="160">
        <f t="shared" si="117"/>
        <v>-8.9266532601031527E-4</v>
      </c>
      <c r="Z150" s="98" t="str">
        <f t="shared" si="107"/>
        <v>0.99998253936671-0.00611191346067342i</v>
      </c>
      <c r="AA150" s="160">
        <f t="shared" si="118"/>
        <v>1.0000012172614812</v>
      </c>
      <c r="AB150" s="160">
        <f t="shared" si="119"/>
        <v>-6.1119440736361243E-3</v>
      </c>
      <c r="AC150" s="171" t="str">
        <f t="shared" si="120"/>
        <v>0.00361798640884515-0.575998152591304i</v>
      </c>
      <c r="AD150" s="190">
        <f t="shared" si="121"/>
        <v>-4.7914068464753425</v>
      </c>
      <c r="AE150" s="169">
        <f t="shared" si="122"/>
        <v>-89.640115815510541</v>
      </c>
      <c r="AF150" s="98" t="str">
        <f t="shared" si="108"/>
        <v>-0.0000119284294234592</v>
      </c>
      <c r="AG150" s="98" t="str">
        <f t="shared" si="109"/>
        <v>7.35425149661376E-06i</v>
      </c>
      <c r="AH150" s="98">
        <f t="shared" si="123"/>
        <v>7.3542514966137604E-6</v>
      </c>
      <c r="AI150" s="98">
        <f t="shared" si="124"/>
        <v>1.5707963267948966</v>
      </c>
      <c r="AJ150" s="98" t="str">
        <f t="shared" si="110"/>
        <v>1+0.00635118331210722i</v>
      </c>
      <c r="AK150" s="98">
        <f t="shared" si="125"/>
        <v>1.0000201685613466</v>
      </c>
      <c r="AL150" s="98">
        <f t="shared" si="126"/>
        <v>6.3510979171593224E-3</v>
      </c>
      <c r="AM150" s="98" t="str">
        <f t="shared" si="111"/>
        <v>1+16.1729996141305i</v>
      </c>
      <c r="AN150" s="98">
        <f t="shared" si="127"/>
        <v>16.20388584626124</v>
      </c>
      <c r="AO150" s="98">
        <f t="shared" si="128"/>
        <v>1.5090434941043256</v>
      </c>
      <c r="AP150" s="168" t="str">
        <f t="shared" si="129"/>
        <v>-26.2208800480043+1.7885109752737i</v>
      </c>
      <c r="AQ150" s="98">
        <f t="shared" si="130"/>
        <v>28.393104075218186</v>
      </c>
      <c r="AR150" s="169">
        <f t="shared" si="131"/>
        <v>176.09793220792523</v>
      </c>
      <c r="AS150" s="168" t="str">
        <f t="shared" si="132"/>
        <v>0.935312230005284+15.1096492753693i</v>
      </c>
      <c r="AT150" s="190">
        <f t="shared" si="133"/>
        <v>23.601697228742864</v>
      </c>
      <c r="AU150" s="169">
        <f t="shared" si="134"/>
        <v>86.457816392414699</v>
      </c>
      <c r="AV150" s="225"/>
      <c r="AX150">
        <f t="shared" si="135"/>
        <v>0</v>
      </c>
      <c r="AY150">
        <f t="shared" si="136"/>
        <v>0</v>
      </c>
    </row>
    <row r="151" spans="14:51" x14ac:dyDescent="0.2">
      <c r="N151" s="170">
        <v>33</v>
      </c>
      <c r="O151" s="199">
        <f t="shared" si="102"/>
        <v>213.79620895022339</v>
      </c>
      <c r="P151" s="189" t="str">
        <f t="shared" si="103"/>
        <v>771.276595744681</v>
      </c>
      <c r="Q151" s="160" t="str">
        <f t="shared" si="104"/>
        <v>1+1370.18762278287i</v>
      </c>
      <c r="R151" s="160">
        <f t="shared" si="112"/>
        <v>1370.1879876963496</v>
      </c>
      <c r="S151" s="160">
        <f t="shared" si="113"/>
        <v>1.5700664998676763</v>
      </c>
      <c r="T151" s="160" t="str">
        <f t="shared" si="105"/>
        <v>1+0.000322397087713617i</v>
      </c>
      <c r="U151" s="160">
        <f t="shared" si="114"/>
        <v>1.0000000519699397</v>
      </c>
      <c r="V151" s="160">
        <f t="shared" si="115"/>
        <v>3.2239707654364592E-4</v>
      </c>
      <c r="W151" s="98" t="str">
        <f t="shared" si="106"/>
        <v>1-0.000913458415188582i</v>
      </c>
      <c r="X151" s="160">
        <f t="shared" si="116"/>
        <v>1.0000004172030512</v>
      </c>
      <c r="Y151" s="160">
        <f t="shared" si="117"/>
        <v>-9.1345816112356427E-4</v>
      </c>
      <c r="Z151" s="98" t="str">
        <f t="shared" si="107"/>
        <v>0.999981716472415-0.00625427821373351i</v>
      </c>
      <c r="AA151" s="160">
        <f t="shared" si="118"/>
        <v>1.0000012746367337</v>
      </c>
      <c r="AB151" s="160">
        <f t="shared" si="119"/>
        <v>-6.2543110160929614E-3</v>
      </c>
      <c r="AC151" s="171" t="str">
        <f t="shared" si="120"/>
        <v>0.00359862518162401-0.562886421361689i</v>
      </c>
      <c r="AD151" s="190">
        <f t="shared" si="121"/>
        <v>-4.9914070523958571</v>
      </c>
      <c r="AE151" s="169">
        <f t="shared" si="122"/>
        <v>-89.63370367789183</v>
      </c>
      <c r="AF151" s="98" t="str">
        <f t="shared" si="108"/>
        <v>-0.0000119284294234592</v>
      </c>
      <c r="AG151" s="98" t="str">
        <f t="shared" si="109"/>
        <v>7.52555401995512E-06i</v>
      </c>
      <c r="AH151" s="98">
        <f t="shared" si="123"/>
        <v>7.52555401995512E-6</v>
      </c>
      <c r="AI151" s="98">
        <f t="shared" si="124"/>
        <v>1.5707963267948966</v>
      </c>
      <c r="AJ151" s="98" t="str">
        <f t="shared" si="110"/>
        <v>1+0.00649912137596977i</v>
      </c>
      <c r="AK151" s="98">
        <f t="shared" si="125"/>
        <v>1.0000211190663224</v>
      </c>
      <c r="AL151" s="98">
        <f t="shared" si="126"/>
        <v>6.4990298737388945E-3</v>
      </c>
      <c r="AM151" s="98" t="str">
        <f t="shared" si="111"/>
        <v>1+16.549717169299i</v>
      </c>
      <c r="AN151" s="98">
        <f t="shared" si="127"/>
        <v>16.579901639750162</v>
      </c>
      <c r="AO151" s="98">
        <f t="shared" si="128"/>
        <v>1.5104457099693087</v>
      </c>
      <c r="AP151" s="168" t="str">
        <f t="shared" si="129"/>
        <v>-26.2208302029265+1.75546900530295i</v>
      </c>
      <c r="AQ151" s="98">
        <f t="shared" si="130"/>
        <v>28.392351315046046</v>
      </c>
      <c r="AR151" s="169">
        <f t="shared" si="131"/>
        <v>176.16979738218791</v>
      </c>
      <c r="AS151" s="168" t="str">
        <f t="shared" si="132"/>
        <v>0.893770726355003+14.7656665530258i</v>
      </c>
      <c r="AT151" s="190">
        <f t="shared" si="133"/>
        <v>23.400944262650171</v>
      </c>
      <c r="AU151" s="169">
        <f t="shared" si="134"/>
        <v>86.536093704296078</v>
      </c>
      <c r="AV151" s="225"/>
      <c r="AX151">
        <f t="shared" si="135"/>
        <v>0</v>
      </c>
      <c r="AY151">
        <f t="shared" si="136"/>
        <v>0</v>
      </c>
    </row>
    <row r="152" spans="14:51" x14ac:dyDescent="0.2">
      <c r="N152" s="170">
        <v>34</v>
      </c>
      <c r="O152" s="199">
        <f t="shared" si="102"/>
        <v>218.77616239495524</v>
      </c>
      <c r="P152" s="189" t="str">
        <f t="shared" si="103"/>
        <v>771.276595744681</v>
      </c>
      <c r="Q152" s="160" t="str">
        <f t="shared" si="104"/>
        <v>1+1402.10339250354i</v>
      </c>
      <c r="R152" s="160">
        <f t="shared" si="112"/>
        <v>1402.1037491105767</v>
      </c>
      <c r="S152" s="160">
        <f t="shared" si="113"/>
        <v>1.5700831127510619</v>
      </c>
      <c r="T152" s="160" t="str">
        <f t="shared" si="105"/>
        <v>1+0.000329906680589069i</v>
      </c>
      <c r="U152" s="160">
        <f t="shared" si="114"/>
        <v>1.0000000544192074</v>
      </c>
      <c r="V152" s="160">
        <f t="shared" si="115"/>
        <v>3.2990666862022942E-4</v>
      </c>
      <c r="W152" s="98" t="str">
        <f t="shared" si="106"/>
        <v>1-0.00093473559500236i</v>
      </c>
      <c r="X152" s="160">
        <f t="shared" si="116"/>
        <v>1.0000004368652209</v>
      </c>
      <c r="Y152" s="160">
        <f t="shared" si="117"/>
        <v>-9.3473532276679519E-4</v>
      </c>
      <c r="Z152" s="98" t="str">
        <f t="shared" si="107"/>
        <v>0.999980854796307-0.0063999590678877i</v>
      </c>
      <c r="AA152" s="160">
        <f t="shared" si="118"/>
        <v>1.0000013347167209</v>
      </c>
      <c r="AB152" s="160">
        <f t="shared" si="119"/>
        <v>-6.3999942162254568E-3</v>
      </c>
      <c r="AC152" s="171" t="str">
        <f t="shared" si="120"/>
        <v>0.00358013534807994-0.550073138690375i</v>
      </c>
      <c r="AD152" s="190">
        <f t="shared" si="121"/>
        <v>-5.1914072780721279</v>
      </c>
      <c r="AE152" s="169">
        <f t="shared" si="122"/>
        <v>-89.627097317112131</v>
      </c>
      <c r="AF152" s="98" t="str">
        <f t="shared" si="108"/>
        <v>-0.0000119284294234592</v>
      </c>
      <c r="AG152" s="98" t="str">
        <f t="shared" si="109"/>
        <v>7.70084669165033E-06i</v>
      </c>
      <c r="AH152" s="98">
        <f t="shared" si="123"/>
        <v>7.70084669165033E-6</v>
      </c>
      <c r="AI152" s="98">
        <f t="shared" si="124"/>
        <v>1.5707963267948966</v>
      </c>
      <c r="AJ152" s="98" t="str">
        <f t="shared" si="110"/>
        <v>1+0.00665050536001192i</v>
      </c>
      <c r="AK152" s="98">
        <f t="shared" si="125"/>
        <v>1.0000221143662491</v>
      </c>
      <c r="AL152" s="98">
        <f t="shared" si="126"/>
        <v>6.6504073137221651E-3</v>
      </c>
      <c r="AM152" s="98" t="str">
        <f t="shared" si="111"/>
        <v>1+16.9352096035722i</v>
      </c>
      <c r="AN152" s="98">
        <f t="shared" si="127"/>
        <v>16.964708200170257</v>
      </c>
      <c r="AO152" s="98">
        <f t="shared" si="128"/>
        <v>1.5118162371440591</v>
      </c>
      <c r="AP152" s="168" t="str">
        <f t="shared" si="129"/>
        <v>-26.2207780089261+1.72335777769394i</v>
      </c>
      <c r="AQ152" s="98">
        <f t="shared" si="130"/>
        <v>28.391631554860538</v>
      </c>
      <c r="AR152" s="169">
        <f t="shared" si="131"/>
        <v>176.23964951658456</v>
      </c>
      <c r="AS152" s="168" t="str">
        <f t="shared" si="132"/>
        <v>0.854098887658662+14.4295155123709i</v>
      </c>
      <c r="AT152" s="190">
        <f t="shared" si="133"/>
        <v>23.20022427678844</v>
      </c>
      <c r="AU152" s="169">
        <f t="shared" si="134"/>
        <v>86.612552199472447</v>
      </c>
      <c r="AV152" s="225"/>
      <c r="AX152">
        <f t="shared" si="135"/>
        <v>0</v>
      </c>
      <c r="AY152">
        <f t="shared" si="136"/>
        <v>0</v>
      </c>
    </row>
    <row r="153" spans="14:51" x14ac:dyDescent="0.2">
      <c r="N153" s="170">
        <v>35</v>
      </c>
      <c r="O153" s="199">
        <f t="shared" si="102"/>
        <v>223.87211385683412</v>
      </c>
      <c r="P153" s="189" t="str">
        <f t="shared" si="103"/>
        <v>771.276595744681</v>
      </c>
      <c r="Q153" s="160" t="str">
        <f t="shared" si="104"/>
        <v>1+1434.76257600195i</v>
      </c>
      <c r="R153" s="160">
        <f t="shared" si="112"/>
        <v>1434.7629244916218</v>
      </c>
      <c r="S153" s="160">
        <f t="shared" si="113"/>
        <v>1.570099347479434</v>
      </c>
      <c r="T153" s="160" t="str">
        <f t="shared" si="105"/>
        <v>1+0.0003375911943534i</v>
      </c>
      <c r="U153" s="160">
        <f t="shared" si="114"/>
        <v>1.0000000569839056</v>
      </c>
      <c r="V153" s="160">
        <f t="shared" si="115"/>
        <v>3.3759118152855736E-4</v>
      </c>
      <c r="W153" s="98" t="str">
        <f t="shared" si="106"/>
        <v>1-0.000956508384001298i</v>
      </c>
      <c r="X153" s="160">
        <f t="shared" si="116"/>
        <v>1.0000004574540398</v>
      </c>
      <c r="Y153" s="160">
        <f t="shared" si="117"/>
        <v>-9.5650809229564195E-4</v>
      </c>
      <c r="Z153" s="98" t="str">
        <f t="shared" si="107"/>
        <v>0.999979952510655-0.00654903326505316i</v>
      </c>
      <c r="AA153" s="160">
        <f t="shared" si="118"/>
        <v>1.0000013976289825</v>
      </c>
      <c r="AB153" s="160">
        <f t="shared" si="119"/>
        <v>-6.5490709271490768E-3</v>
      </c>
      <c r="AC153" s="171" t="str">
        <f t="shared" si="120"/>
        <v>0.00356247768891891-0.537551510890154i</v>
      </c>
      <c r="AD153" s="190">
        <f t="shared" si="121"/>
        <v>-5.3914075239837338</v>
      </c>
      <c r="AE153" s="169">
        <f t="shared" si="122"/>
        <v>-89.620293229814834</v>
      </c>
      <c r="AF153" s="98" t="str">
        <f t="shared" si="108"/>
        <v>-0.0000119284294234592</v>
      </c>
      <c r="AG153" s="98" t="str">
        <f t="shared" si="109"/>
        <v>7.88022245419421E-06i</v>
      </c>
      <c r="AH153" s="98">
        <f t="shared" si="123"/>
        <v>7.8802224541942093E-6</v>
      </c>
      <c r="AI153" s="98">
        <f t="shared" si="124"/>
        <v>1.5707963267948966</v>
      </c>
      <c r="AJ153" s="98" t="str">
        <f t="shared" si="110"/>
        <v>1+0.00680541553002581i</v>
      </c>
      <c r="AK153" s="98">
        <f t="shared" si="125"/>
        <v>1.0000231565721549</v>
      </c>
      <c r="AL153" s="98">
        <f t="shared" si="126"/>
        <v>6.80531047166492E-3</v>
      </c>
      <c r="AM153" s="98" t="str">
        <f t="shared" si="111"/>
        <v>1+17.3296813101412i</v>
      </c>
      <c r="AN153" s="98">
        <f t="shared" si="127"/>
        <v>17.358509564794357</v>
      </c>
      <c r="AO153" s="98">
        <f t="shared" si="128"/>
        <v>1.5131557816940069</v>
      </c>
      <c r="AP153" s="168" t="str">
        <f t="shared" si="129"/>
        <v>-26.2207233553209+1.69216026446465i</v>
      </c>
      <c r="AQ153" s="98">
        <f t="shared" si="130"/>
        <v>28.390943284021319</v>
      </c>
      <c r="AR153" s="169">
        <f t="shared" si="131"/>
        <v>176.30752446858295</v>
      </c>
      <c r="AS153" s="168" t="str">
        <f t="shared" si="132"/>
        <v>0.816212564890609+14.1010177394737i</v>
      </c>
      <c r="AT153" s="190">
        <f t="shared" si="133"/>
        <v>22.999535760037567</v>
      </c>
      <c r="AU153" s="169">
        <f t="shared" si="134"/>
        <v>86.687231238768121</v>
      </c>
      <c r="AV153" s="225"/>
      <c r="AX153">
        <f t="shared" si="135"/>
        <v>0</v>
      </c>
      <c r="AY153">
        <f t="shared" si="136"/>
        <v>0</v>
      </c>
    </row>
    <row r="154" spans="14:51" x14ac:dyDescent="0.2">
      <c r="N154" s="170">
        <v>36</v>
      </c>
      <c r="O154" s="199">
        <f t="shared" si="102"/>
        <v>229.08676527677744</v>
      </c>
      <c r="P154" s="189" t="str">
        <f t="shared" si="103"/>
        <v>771.276595744681</v>
      </c>
      <c r="Q154" s="160" t="str">
        <f t="shared" si="104"/>
        <v>1+1468.18248960948i</v>
      </c>
      <c r="R154" s="160">
        <f t="shared" si="112"/>
        <v>1468.1828301665603</v>
      </c>
      <c r="S154" s="160">
        <f t="shared" si="113"/>
        <v>1.5701152126606264</v>
      </c>
      <c r="T154" s="160" t="str">
        <f t="shared" si="105"/>
        <v>1+0.000345454703437524i</v>
      </c>
      <c r="U154" s="160">
        <f t="shared" si="114"/>
        <v>1.0000000596694743</v>
      </c>
      <c r="V154" s="160">
        <f t="shared" si="115"/>
        <v>3.4545468969545757E-4</v>
      </c>
      <c r="W154" s="98" t="str">
        <f t="shared" si="106"/>
        <v>1-0.000978788326406316i</v>
      </c>
      <c r="X154" s="160">
        <f t="shared" si="116"/>
        <v>1.0000004790131791</v>
      </c>
      <c r="Y154" s="160">
        <f t="shared" si="117"/>
        <v>-9.7878801383808212E-4</v>
      </c>
      <c r="Z154" s="98" t="str">
        <f t="shared" si="107"/>
        <v>0.99997900770159-0.00670157984634244i</v>
      </c>
      <c r="AA154" s="160">
        <f t="shared" si="118"/>
        <v>1.0000014635070757</v>
      </c>
      <c r="AB154" s="160">
        <f t="shared" si="119"/>
        <v>-6.7016202019755172E-3</v>
      </c>
      <c r="AC154" s="171" t="str">
        <f t="shared" si="120"/>
        <v>0.00354561474998964-0.525314898907428i</v>
      </c>
      <c r="AD154" s="190">
        <f t="shared" si="121"/>
        <v>-5.5914077906531192</v>
      </c>
      <c r="AE154" s="169">
        <f t="shared" si="122"/>
        <v>-89.613287807765161</v>
      </c>
      <c r="AF154" s="98" t="str">
        <f t="shared" si="108"/>
        <v>-0.0000119284294234592</v>
      </c>
      <c r="AG154" s="98" t="str">
        <f t="shared" si="109"/>
        <v>8.06377641499038E-06i</v>
      </c>
      <c r="AH154" s="98">
        <f t="shared" si="123"/>
        <v>8.0637764149903805E-6</v>
      </c>
      <c r="AI154" s="98">
        <f t="shared" si="124"/>
        <v>1.5707963267948966</v>
      </c>
      <c r="AJ154" s="98" t="str">
        <f t="shared" si="110"/>
        <v>1+0.00696393402143402i</v>
      </c>
      <c r="AK154" s="98">
        <f t="shared" si="125"/>
        <v>1.0000242478945471</v>
      </c>
      <c r="AL154" s="98">
        <f t="shared" si="126"/>
        <v>6.9638214495195703E-3</v>
      </c>
      <c r="AM154" s="98" t="str">
        <f t="shared" si="111"/>
        <v>1+17.7333414431262i</v>
      </c>
      <c r="AN154" s="98">
        <f t="shared" si="127"/>
        <v>17.761514539545811</v>
      </c>
      <c r="AO154" s="98">
        <f t="shared" si="128"/>
        <v>1.5144650346233175</v>
      </c>
      <c r="AP154" s="168" t="str">
        <f t="shared" si="129"/>
        <v>-26.2206661262146+1.66185992194034i</v>
      </c>
      <c r="AQ154" s="98">
        <f t="shared" si="130"/>
        <v>28.390285057274156</v>
      </c>
      <c r="AR154" s="169">
        <f t="shared" si="131"/>
        <v>176.37345712571002</v>
      </c>
      <c r="AS154" s="168" t="str">
        <f t="shared" si="132"/>
        <v>0.780031396320736+13.7799988904295i</v>
      </c>
      <c r="AT154" s="190">
        <f t="shared" si="133"/>
        <v>22.798877266621037</v>
      </c>
      <c r="AU154" s="169">
        <f t="shared" si="134"/>
        <v>86.760169317944872</v>
      </c>
      <c r="AV154" s="225"/>
      <c r="AX154">
        <f t="shared" si="135"/>
        <v>0</v>
      </c>
      <c r="AY154">
        <f t="shared" si="136"/>
        <v>0</v>
      </c>
    </row>
    <row r="155" spans="14:51" x14ac:dyDescent="0.2">
      <c r="N155" s="170">
        <v>37</v>
      </c>
      <c r="O155" s="199">
        <f t="shared" si="102"/>
        <v>234.42288153199232</v>
      </c>
      <c r="P155" s="189" t="str">
        <f t="shared" si="103"/>
        <v>771.276595744681</v>
      </c>
      <c r="Q155" s="160" t="str">
        <f t="shared" si="104"/>
        <v>1+1502.38085300668i</v>
      </c>
      <c r="R155" s="160">
        <f t="shared" si="112"/>
        <v>1502.3811858117365</v>
      </c>
      <c r="S155" s="160">
        <f t="shared" si="113"/>
        <v>1.5701307167065359</v>
      </c>
      <c r="T155" s="160" t="str">
        <f t="shared" si="105"/>
        <v>1+0.000353501377178042i</v>
      </c>
      <c r="U155" s="160">
        <f t="shared" si="114"/>
        <v>1.0000000624816099</v>
      </c>
      <c r="V155" s="160">
        <f t="shared" si="115"/>
        <v>3.5350136245315255E-4</v>
      </c>
      <c r="W155" s="98" t="str">
        <f t="shared" si="106"/>
        <v>1-0.00100158723533779i</v>
      </c>
      <c r="X155" s="160">
        <f t="shared" si="116"/>
        <v>1.0000005015883691</v>
      </c>
      <c r="Y155" s="160">
        <f t="shared" si="117"/>
        <v>-1.0015869004149022E-3</v>
      </c>
      <c r="Z155" s="98" t="str">
        <f t="shared" si="107"/>
        <v>0.999978018365046-0.00685767969397211i</v>
      </c>
      <c r="AA155" s="160">
        <f t="shared" si="118"/>
        <v>1.0000015324908604</v>
      </c>
      <c r="AB155" s="160">
        <f t="shared" si="119"/>
        <v>-6.8577229357786196E-3</v>
      </c>
      <c r="AC155" s="171" t="str">
        <f t="shared" si="120"/>
        <v>0.00352951076283896-0.513356814802456i</v>
      </c>
      <c r="AD155" s="190">
        <f t="shared" si="121"/>
        <v>-5.7914080786469864</v>
      </c>
      <c r="AE155" s="169">
        <f t="shared" si="122"/>
        <v>-89.606077335934103</v>
      </c>
      <c r="AF155" s="98" t="str">
        <f t="shared" si="108"/>
        <v>-0.0000119284294234592</v>
      </c>
      <c r="AG155" s="98" t="str">
        <f t="shared" si="109"/>
        <v>8.25160589677848E-06i</v>
      </c>
      <c r="AH155" s="98">
        <f t="shared" si="123"/>
        <v>8.2516058967784801E-6</v>
      </c>
      <c r="AI155" s="98">
        <f t="shared" si="124"/>
        <v>1.5707963267948966</v>
      </c>
      <c r="AJ155" s="98" t="str">
        <f t="shared" si="110"/>
        <v>1+0.00712614488283892i</v>
      </c>
      <c r="AK155" s="98">
        <f t="shared" si="125"/>
        <v>1.0000253906481031</v>
      </c>
      <c r="AL155" s="98">
        <f t="shared" si="126"/>
        <v>7.1260242600247672E-3</v>
      </c>
      <c r="AM155" s="98" t="str">
        <f t="shared" si="111"/>
        <v>1+18.1464040284728i</v>
      </c>
      <c r="AN155" s="98">
        <f t="shared" si="127"/>
        <v>18.173936809744166</v>
      </c>
      <c r="AO155" s="98">
        <f t="shared" si="128"/>
        <v>1.5157446721510874</v>
      </c>
      <c r="AP155" s="168" t="str">
        <f t="shared" si="129"/>
        <v>-26.2206062002513+1.63244068197071i</v>
      </c>
      <c r="AQ155" s="98">
        <f t="shared" si="130"/>
        <v>28.389655491808455</v>
      </c>
      <c r="AR155" s="169">
        <f t="shared" si="131"/>
        <v>176.43748141889068</v>
      </c>
      <c r="AS155" s="168" t="str">
        <f t="shared" si="132"/>
        <v>0.745478637058484+13.4662885981072i</v>
      </c>
      <c r="AT155" s="190">
        <f t="shared" si="133"/>
        <v>22.598247413161438</v>
      </c>
      <c r="AU155" s="169">
        <f t="shared" si="134"/>
        <v>86.831404082956581</v>
      </c>
      <c r="AV155" s="225"/>
      <c r="AX155">
        <f t="shared" si="135"/>
        <v>0</v>
      </c>
      <c r="AY155">
        <f t="shared" si="136"/>
        <v>0</v>
      </c>
    </row>
    <row r="156" spans="14:51" x14ac:dyDescent="0.2">
      <c r="N156" s="170">
        <v>38</v>
      </c>
      <c r="O156" s="199">
        <f t="shared" si="102"/>
        <v>239.88329190194912</v>
      </c>
      <c r="P156" s="189" t="str">
        <f t="shared" si="103"/>
        <v>771.276595744681</v>
      </c>
      <c r="Q156" s="160" t="str">
        <f t="shared" si="104"/>
        <v>1+1537.37579861852i</v>
      </c>
      <c r="R156" s="160">
        <f t="shared" si="112"/>
        <v>1537.3761238480104</v>
      </c>
      <c r="S156" s="160">
        <f t="shared" si="113"/>
        <v>1.5701458678375835</v>
      </c>
      <c r="T156" s="160" t="str">
        <f t="shared" si="105"/>
        <v>1+0.000361735482027888i</v>
      </c>
      <c r="U156" s="160">
        <f t="shared" si="114"/>
        <v>1.0000000654262773</v>
      </c>
      <c r="V156" s="160">
        <f t="shared" si="115"/>
        <v>3.6173546624988475E-4</v>
      </c>
      <c r="W156" s="98" t="str">
        <f t="shared" si="106"/>
        <v>1-0.00102491719907901i</v>
      </c>
      <c r="X156" s="160">
        <f t="shared" si="116"/>
        <v>1.0000005252274946</v>
      </c>
      <c r="Y156" s="160">
        <f t="shared" si="117"/>
        <v>-1.0249168402026803E-3</v>
      </c>
      <c r="Z156" s="98" t="str">
        <f t="shared" si="107"/>
        <v>0.999976982402507-0.00701741557414772i</v>
      </c>
      <c r="AA156" s="160">
        <f t="shared" si="118"/>
        <v>1.0000016047267943</v>
      </c>
      <c r="AB156" s="160">
        <f t="shared" si="119"/>
        <v>-7.0174619085407045E-3</v>
      </c>
      <c r="AC156" s="171" t="str">
        <f t="shared" si="120"/>
        <v>0.00351413156884312-0.501670918309712i</v>
      </c>
      <c r="AD156" s="190">
        <f t="shared" si="121"/>
        <v>-5.9914083885775726</v>
      </c>
      <c r="AE156" s="169">
        <f t="shared" si="122"/>
        <v>-89.598657990525467</v>
      </c>
      <c r="AF156" s="98" t="str">
        <f t="shared" si="108"/>
        <v>-0.0000119284294234592</v>
      </c>
      <c r="AG156" s="98" t="str">
        <f t="shared" si="109"/>
        <v>8.44381048923597E-06i</v>
      </c>
      <c r="AH156" s="98">
        <f t="shared" si="123"/>
        <v>8.4438104892359704E-6</v>
      </c>
      <c r="AI156" s="98">
        <f t="shared" si="124"/>
        <v>1.5707963267948966</v>
      </c>
      <c r="AJ156" s="98" t="str">
        <f t="shared" si="110"/>
        <v>1+0.00729213412058645i</v>
      </c>
      <c r="AK156" s="98">
        <f t="shared" si="125"/>
        <v>1.0000265872565752</v>
      </c>
      <c r="AL156" s="98">
        <f t="shared" si="126"/>
        <v>7.2920048710980239E-3</v>
      </c>
      <c r="AM156" s="98" t="str">
        <f t="shared" si="111"/>
        <v>1+18.5690880774316i</v>
      </c>
      <c r="AN156" s="98">
        <f t="shared" si="127"/>
        <v>18.5959950534359</v>
      </c>
      <c r="AO156" s="98">
        <f t="shared" si="128"/>
        <v>1.5169953559856122</v>
      </c>
      <c r="AP156" s="168" t="str">
        <f t="shared" si="129"/>
        <v>-26.2205434503584+1.60388694339839i</v>
      </c>
      <c r="AQ156" s="98">
        <f t="shared" si="130"/>
        <v>28.389053264436455</v>
      </c>
      <c r="AR156" s="169">
        <f t="shared" si="131"/>
        <v>176.49963033561872</v>
      </c>
      <c r="AS156" s="168" t="str">
        <f t="shared" si="132"/>
        <v>0.7124809962685+13.1597203810617i</v>
      </c>
      <c r="AT156" s="190">
        <f t="shared" si="133"/>
        <v>22.397644875858912</v>
      </c>
      <c r="AU156" s="169">
        <f t="shared" si="134"/>
        <v>86.900972345093265</v>
      </c>
      <c r="AV156" s="225"/>
      <c r="AX156">
        <f t="shared" si="135"/>
        <v>0</v>
      </c>
      <c r="AY156">
        <f t="shared" si="136"/>
        <v>0</v>
      </c>
    </row>
    <row r="157" spans="14:51" x14ac:dyDescent="0.2">
      <c r="N157" s="170">
        <v>39</v>
      </c>
      <c r="O157" s="199">
        <f t="shared" si="102"/>
        <v>245.4708915685033</v>
      </c>
      <c r="P157" s="189" t="str">
        <f t="shared" si="103"/>
        <v>771.276595744681</v>
      </c>
      <c r="Q157" s="160" t="str">
        <f t="shared" si="104"/>
        <v>1+1573.18588122836i</v>
      </c>
      <c r="R157" s="160">
        <f t="shared" si="112"/>
        <v>1573.1861990547245</v>
      </c>
      <c r="S157" s="160">
        <f t="shared" si="113"/>
        <v>1.5701606740870715</v>
      </c>
      <c r="T157" s="160" t="str">
        <f t="shared" si="105"/>
        <v>1+0.000370161383818437i</v>
      </c>
      <c r="U157" s="160">
        <f t="shared" si="114"/>
        <v>1.0000000685097226</v>
      </c>
      <c r="V157" s="160">
        <f t="shared" si="115"/>
        <v>3.7016136691200196E-4</v>
      </c>
      <c r="W157" s="98" t="str">
        <f t="shared" si="106"/>
        <v>1-0.00104879058748557i</v>
      </c>
      <c r="X157" s="160">
        <f t="shared" si="116"/>
        <v>1.000000549980697</v>
      </c>
      <c r="Y157" s="160">
        <f t="shared" si="117"/>
        <v>-1.0487902029426659E-3</v>
      </c>
      <c r="Z157" s="98" t="str">
        <f t="shared" si="107"/>
        <v>0.999975897616557-0.00718087218094717i</v>
      </c>
      <c r="AA157" s="160">
        <f t="shared" si="118"/>
        <v>1.0000016803682472</v>
      </c>
      <c r="AB157" s="160">
        <f t="shared" si="119"/>
        <v>-7.1809218291016969E-3</v>
      </c>
      <c r="AC157" s="171" t="str">
        <f t="shared" si="120"/>
        <v>0.00349944454675369-0.490251013476558i</v>
      </c>
      <c r="AD157" s="190">
        <f t="shared" si="121"/>
        <v>-6.1914087211033406</v>
      </c>
      <c r="AE157" s="169">
        <f t="shared" si="122"/>
        <v>-89.591025836945093</v>
      </c>
      <c r="AF157" s="98" t="str">
        <f t="shared" si="108"/>
        <v>-0.0000119284294234592</v>
      </c>
      <c r="AG157" s="98" t="str">
        <f t="shared" si="109"/>
        <v>0.0000086404921017819i</v>
      </c>
      <c r="AH157" s="98">
        <f t="shared" si="123"/>
        <v>8.6404921017818992E-6</v>
      </c>
      <c r="AI157" s="98">
        <f t="shared" si="124"/>
        <v>1.5707963267948966</v>
      </c>
      <c r="AJ157" s="98" t="str">
        <f t="shared" si="110"/>
        <v>1+0.00746198974436748i</v>
      </c>
      <c r="AK157" s="98">
        <f t="shared" si="125"/>
        <v>1.0000278402579326</v>
      </c>
      <c r="AL157" s="98">
        <f t="shared" si="126"/>
        <v>7.4618512512536735E-3</v>
      </c>
      <c r="AM157" s="98" t="str">
        <f t="shared" si="111"/>
        <v>1+19.0016177026798i</v>
      </c>
      <c r="AN157" s="98">
        <f t="shared" si="127"/>
        <v>19.027913057369013</v>
      </c>
      <c r="AO157" s="98">
        <f t="shared" si="128"/>
        <v>1.5182177335964884</v>
      </c>
      <c r="AP157" s="168" t="str">
        <f t="shared" si="129"/>
        <v>-26.2204777434756+1.57618356377415i</v>
      </c>
      <c r="AQ157" s="98">
        <f t="shared" si="130"/>
        <v>28.388477108888516</v>
      </c>
      <c r="AR157" s="169">
        <f t="shared" si="131"/>
        <v>176.55993593294471</v>
      </c>
      <c r="AS157" s="168" t="str">
        <f t="shared" si="132"/>
        <v>0.680968481712688+12.8601315545554i</v>
      </c>
      <c r="AT157" s="190">
        <f t="shared" si="133"/>
        <v>22.19706838778519</v>
      </c>
      <c r="AU157" s="169">
        <f t="shared" si="134"/>
        <v>86.968910095999604</v>
      </c>
      <c r="AV157" s="225"/>
      <c r="AX157">
        <f t="shared" si="135"/>
        <v>0</v>
      </c>
      <c r="AY157">
        <f t="shared" si="136"/>
        <v>0</v>
      </c>
    </row>
    <row r="158" spans="14:51" x14ac:dyDescent="0.2">
      <c r="N158" s="170">
        <v>40</v>
      </c>
      <c r="O158" s="199">
        <f t="shared" si="102"/>
        <v>251.18864315095806</v>
      </c>
      <c r="P158" s="189" t="str">
        <f t="shared" si="103"/>
        <v>771.276595744681</v>
      </c>
      <c r="Q158" s="160" t="str">
        <f t="shared" si="104"/>
        <v>1+1609.83008781601i</v>
      </c>
      <c r="R158" s="160">
        <f t="shared" si="112"/>
        <v>1609.8303984077647</v>
      </c>
      <c r="S158" s="160">
        <f t="shared" si="113"/>
        <v>1.5701751433054429</v>
      </c>
      <c r="T158" s="160" t="str">
        <f t="shared" si="105"/>
        <v>1+0.000378783550074355i</v>
      </c>
      <c r="U158" s="160">
        <f t="shared" si="114"/>
        <v>1.0000000717384863</v>
      </c>
      <c r="V158" s="160">
        <f t="shared" si="115"/>
        <v>3.7878353195878355E-4</v>
      </c>
      <c r="W158" s="98" t="str">
        <f t="shared" si="106"/>
        <v>1-0.001073220058544i</v>
      </c>
      <c r="X158" s="160">
        <f t="shared" si="116"/>
        <v>1.0000005759004813</v>
      </c>
      <c r="Y158" s="160">
        <f t="shared" si="117"/>
        <v>-1.0732196464988675E-3</v>
      </c>
      <c r="Z158" s="98" t="str">
        <f t="shared" si="107"/>
        <v>0.999974761706221-0.00734813618122708i</v>
      </c>
      <c r="AA158" s="160">
        <f t="shared" si="118"/>
        <v>1.0000017595758277</v>
      </c>
      <c r="AB158" s="160">
        <f t="shared" si="119"/>
        <v>-7.3481893801359355E-3</v>
      </c>
      <c r="AC158" s="171" t="str">
        <f t="shared" si="120"/>
        <v>0.00348541854350398-0.479091045378326i</v>
      </c>
      <c r="AD158" s="190">
        <f t="shared" si="121"/>
        <v>-6.3914090769312271</v>
      </c>
      <c r="AE158" s="169">
        <f t="shared" si="122"/>
        <v>-89.583176827711057</v>
      </c>
      <c r="AF158" s="98" t="str">
        <f t="shared" si="108"/>
        <v>-0.0000119284294234592</v>
      </c>
      <c r="AG158" s="98" t="str">
        <f t="shared" si="109"/>
        <v>8.84175501761061E-06i</v>
      </c>
      <c r="AH158" s="98">
        <f t="shared" si="123"/>
        <v>8.8417550176106104E-6</v>
      </c>
      <c r="AI158" s="98">
        <f t="shared" si="124"/>
        <v>1.5707963267948966</v>
      </c>
      <c r="AJ158" s="98" t="str">
        <f t="shared" si="110"/>
        <v>1+0.00763580181388213i</v>
      </c>
      <c r="AK158" s="98">
        <f t="shared" si="125"/>
        <v>1.0000291523097418</v>
      </c>
      <c r="AL158" s="98">
        <f t="shared" si="126"/>
        <v>7.6356534160706875E-3</v>
      </c>
      <c r="AM158" s="98" t="str">
        <f t="shared" si="111"/>
        <v>1+19.4442222371502i</v>
      </c>
      <c r="AN158" s="98">
        <f t="shared" si="127"/>
        <v>19.46991983567694</v>
      </c>
      <c r="AO158" s="98">
        <f t="shared" si="128"/>
        <v>1.5194124384843386</v>
      </c>
      <c r="AP158" s="168" t="str">
        <f t="shared" si="129"/>
        <v>-26.2204089402761+1.5493158513145i</v>
      </c>
      <c r="AQ158" s="98">
        <f t="shared" si="130"/>
        <v>28.387925813221809</v>
      </c>
      <c r="AR158" s="169">
        <f t="shared" si="131"/>
        <v>176.61842935026789</v>
      </c>
      <c r="AS158" s="168" t="str">
        <f t="shared" si="132"/>
        <v>0.650874251288779+12.567363143642i</v>
      </c>
      <c r="AT158" s="190">
        <f t="shared" si="133"/>
        <v>21.99651673629058</v>
      </c>
      <c r="AU158" s="169">
        <f t="shared" si="134"/>
        <v>87.035252522556846</v>
      </c>
      <c r="AV158" s="225"/>
      <c r="AX158">
        <f t="shared" si="135"/>
        <v>0</v>
      </c>
      <c r="AY158">
        <f t="shared" si="136"/>
        <v>0</v>
      </c>
    </row>
    <row r="159" spans="14:51" x14ac:dyDescent="0.2">
      <c r="N159" s="170">
        <v>41</v>
      </c>
      <c r="O159" s="199">
        <f t="shared" si="102"/>
        <v>257.03957827688663</v>
      </c>
      <c r="P159" s="189" t="str">
        <f t="shared" si="103"/>
        <v>771.276595744681</v>
      </c>
      <c r="Q159" s="160" t="str">
        <f t="shared" si="104"/>
        <v>1+1647.32784762483i</v>
      </c>
      <c r="R159" s="160">
        <f t="shared" si="112"/>
        <v>1647.3281511466544</v>
      </c>
      <c r="S159" s="160">
        <f t="shared" si="113"/>
        <v>1.5701892831644451</v>
      </c>
      <c r="T159" s="160" t="str">
        <f t="shared" si="105"/>
        <v>1+0.000387606552382313i</v>
      </c>
      <c r="U159" s="160">
        <f t="shared" si="114"/>
        <v>1.0000000751194169</v>
      </c>
      <c r="V159" s="160">
        <f t="shared" si="115"/>
        <v>3.8760653297112852E-4</v>
      </c>
      <c r="W159" s="98" t="str">
        <f t="shared" si="106"/>
        <v>1-0.00109821856508322i</v>
      </c>
      <c r="X159" s="160">
        <f t="shared" si="116"/>
        <v>1.0000006030418265</v>
      </c>
      <c r="Y159" s="160">
        <f t="shared" si="117"/>
        <v>-1.0982181235689201E-3</v>
      </c>
      <c r="Z159" s="98" t="str">
        <f t="shared" si="107"/>
        <v>0.99997357226208-0.00751929626057432i</v>
      </c>
      <c r="AA159" s="160">
        <f t="shared" si="118"/>
        <v>1.0000018425177224</v>
      </c>
      <c r="AB159" s="160">
        <f t="shared" si="119"/>
        <v>-7.51935326417923E-3</v>
      </c>
      <c r="AC159" s="171" t="str">
        <f t="shared" si="120"/>
        <v>0.00347202380813006-0.468185096908253i</v>
      </c>
      <c r="AD159" s="190">
        <f t="shared" si="121"/>
        <v>-6.5914094568172787</v>
      </c>
      <c r="AE159" s="169">
        <f t="shared" si="122"/>
        <v>-89.575106800303772</v>
      </c>
      <c r="AF159" s="98" t="str">
        <f t="shared" si="108"/>
        <v>-0.0000119284294234592</v>
      </c>
      <c r="AG159" s="98" t="str">
        <f t="shared" si="109"/>
        <v>9.04770594898414E-06i</v>
      </c>
      <c r="AH159" s="98">
        <f t="shared" si="123"/>
        <v>9.0477059489841402E-6</v>
      </c>
      <c r="AI159" s="98">
        <f t="shared" si="124"/>
        <v>1.5707963267948966</v>
      </c>
      <c r="AJ159" s="98" t="str">
        <f t="shared" si="110"/>
        <v>1+0.00781366248659023i</v>
      </c>
      <c r="AK159" s="98">
        <f t="shared" si="125"/>
        <v>1.000030526194803</v>
      </c>
      <c r="AL159" s="98">
        <f t="shared" si="126"/>
        <v>7.8135034757325656E-3</v>
      </c>
      <c r="AM159" s="98" t="str">
        <f t="shared" si="111"/>
        <v>1+19.8971363556254i</v>
      </c>
      <c r="AN159" s="98">
        <f t="shared" si="127"/>
        <v>19.922249751329542</v>
      </c>
      <c r="AO159" s="98">
        <f t="shared" si="128"/>
        <v>1.5205800904479609</v>
      </c>
      <c r="AP159" s="168" t="str">
        <f t="shared" si="129"/>
        <v>-26.2203368948685+1.52326955709709i</v>
      </c>
      <c r="AQ159" s="98">
        <f t="shared" si="130"/>
        <v>28.387398217334084</v>
      </c>
      <c r="AR159" s="169">
        <f t="shared" si="131"/>
        <v>176.67514082191886</v>
      </c>
      <c r="AS159" s="168" t="str">
        <f t="shared" si="132"/>
        <v>0.622134471250718+12.2812597982595i</v>
      </c>
      <c r="AT159" s="190">
        <f t="shared" si="133"/>
        <v>21.79598876051681</v>
      </c>
      <c r="AU159" s="169">
        <f t="shared" si="134"/>
        <v>87.100034021615102</v>
      </c>
      <c r="AV159" s="225"/>
      <c r="AX159">
        <f t="shared" si="135"/>
        <v>0</v>
      </c>
      <c r="AY159">
        <f t="shared" si="136"/>
        <v>0</v>
      </c>
    </row>
    <row r="160" spans="14:51" x14ac:dyDescent="0.2">
      <c r="N160" s="170">
        <v>42</v>
      </c>
      <c r="O160" s="199">
        <f t="shared" si="102"/>
        <v>263.02679918953817</v>
      </c>
      <c r="P160" s="189" t="str">
        <f t="shared" si="103"/>
        <v>771.276595744681</v>
      </c>
      <c r="Q160" s="160" t="str">
        <f t="shared" si="104"/>
        <v>1+1685.69904246342i</v>
      </c>
      <c r="R160" s="160">
        <f t="shared" si="112"/>
        <v>1685.6993390762457</v>
      </c>
      <c r="S160" s="160">
        <f t="shared" si="113"/>
        <v>1.5702031011611957</v>
      </c>
      <c r="T160" s="160" t="str">
        <f t="shared" si="105"/>
        <v>1+0.000396635068814923i</v>
      </c>
      <c r="U160" s="160">
        <f t="shared" si="114"/>
        <v>1.0000000786596859</v>
      </c>
      <c r="V160" s="160">
        <f t="shared" si="115"/>
        <v>3.9663504801546422E-4</v>
      </c>
      <c r="W160" s="98" t="str">
        <f t="shared" si="106"/>
        <v>1-0.00112379936164228i</v>
      </c>
      <c r="X160" s="160">
        <f t="shared" si="116"/>
        <v>1.0000006314623033</v>
      </c>
      <c r="Y160" s="160">
        <f t="shared" si="117"/>
        <v>-1.1237988885512001E-3</v>
      </c>
      <c r="Z160" s="98" t="str">
        <f t="shared" si="107"/>
        <v>0.999972326761163-0.00769444317032857i</v>
      </c>
      <c r="AA160" s="160">
        <f t="shared" si="118"/>
        <v>1.0000019293700566</v>
      </c>
      <c r="AB160" s="160">
        <f t="shared" si="119"/>
        <v>-7.6945042507322982E-3</v>
      </c>
      <c r="AC160" s="171" t="str">
        <f t="shared" si="120"/>
        <v>0.00345923192866536-0.457527385640371i</v>
      </c>
      <c r="AD160" s="190">
        <f t="shared" si="121"/>
        <v>-6.7914098615691554</v>
      </c>
      <c r="AE160" s="169">
        <f t="shared" si="122"/>
        <v>-89.566811474954761</v>
      </c>
      <c r="AF160" s="98" t="str">
        <f t="shared" si="108"/>
        <v>-0.0000119284294234592</v>
      </c>
      <c r="AG160" s="98" t="str">
        <f t="shared" si="109"/>
        <v>9.25845409381235E-06i</v>
      </c>
      <c r="AH160" s="98">
        <f t="shared" si="123"/>
        <v>9.2584540938123501E-6</v>
      </c>
      <c r="AI160" s="98">
        <f t="shared" si="124"/>
        <v>1.5707963267948966</v>
      </c>
      <c r="AJ160" s="98" t="str">
        <f t="shared" si="110"/>
        <v>1+0.00799566606657479i</v>
      </c>
      <c r="AK160" s="98">
        <f t="shared" si="125"/>
        <v>1.000031964827049</v>
      </c>
      <c r="AL160" s="98">
        <f t="shared" si="126"/>
        <v>7.9954956836651939E-3</v>
      </c>
      <c r="AM160" s="98" t="str">
        <f t="shared" si="111"/>
        <v>1+20.360600199166i</v>
      </c>
      <c r="AN160" s="98">
        <f t="shared" si="127"/>
        <v>20.38514264042022</v>
      </c>
      <c r="AO160" s="98">
        <f t="shared" si="128"/>
        <v>1.5217212958487349</v>
      </c>
      <c r="AP160" s="168" t="str">
        <f t="shared" si="129"/>
        <v>-26.2202614544899+1.49803086749009i</v>
      </c>
      <c r="AQ160" s="98">
        <f t="shared" si="130"/>
        <v>28.386893210581622</v>
      </c>
      <c r="AR160" s="169">
        <f t="shared" si="131"/>
        <v>176.73009968952198</v>
      </c>
      <c r="AS160" s="168" t="str">
        <f t="shared" si="132"/>
        <v>0.594688180809993+12.0016697102867i</v>
      </c>
      <c r="AT160" s="190">
        <f t="shared" si="133"/>
        <v>21.595483349012468</v>
      </c>
      <c r="AU160" s="169">
        <f t="shared" si="134"/>
        <v>87.163288214567231</v>
      </c>
      <c r="AV160" s="225"/>
      <c r="AX160">
        <f t="shared" si="135"/>
        <v>0</v>
      </c>
      <c r="AY160">
        <f t="shared" si="136"/>
        <v>0</v>
      </c>
    </row>
    <row r="161" spans="14:51" x14ac:dyDescent="0.2">
      <c r="N161" s="170">
        <v>43</v>
      </c>
      <c r="O161" s="199">
        <f t="shared" si="102"/>
        <v>269.15348039269179</v>
      </c>
      <c r="P161" s="189" t="str">
        <f t="shared" si="103"/>
        <v>771.276595744681</v>
      </c>
      <c r="Q161" s="160" t="str">
        <f t="shared" si="104"/>
        <v>1+1724.9640172472i</v>
      </c>
      <c r="R161" s="160">
        <f t="shared" si="112"/>
        <v>1724.9643071082944</v>
      </c>
      <c r="S161" s="160">
        <f t="shared" si="113"/>
        <v>1.5702166046221582</v>
      </c>
      <c r="T161" s="160" t="str">
        <f t="shared" si="105"/>
        <v>1+0.000405873886411106i</v>
      </c>
      <c r="U161" s="160">
        <f t="shared" si="114"/>
        <v>1.0000000823668025</v>
      </c>
      <c r="V161" s="160">
        <f t="shared" si="115"/>
        <v>4.0587386412408447E-4</v>
      </c>
      <c r="W161" s="98" t="str">
        <f t="shared" si="106"/>
        <v>1-0.00114997601149813i</v>
      </c>
      <c r="X161" s="160">
        <f t="shared" si="116"/>
        <v>1.0000006612221948</v>
      </c>
      <c r="Y161" s="160">
        <f t="shared" si="117"/>
        <v>-1.149975504571923E-3</v>
      </c>
      <c r="Z161" s="98" t="str">
        <f t="shared" si="107"/>
        <v>0.999971022561597-0.00787366977569975i</v>
      </c>
      <c r="AA161" s="160">
        <f t="shared" si="118"/>
        <v>1.0000020203172704</v>
      </c>
      <c r="AB161" s="160">
        <f t="shared" si="119"/>
        <v>-7.8737352244648597E-3</v>
      </c>
      <c r="AC161" s="171" t="str">
        <f t="shared" si="120"/>
        <v>0.00344701577187586-0.447112260763871i</v>
      </c>
      <c r="AD161" s="190">
        <f t="shared" si="121"/>
        <v>-6.9914102920472558</v>
      </c>
      <c r="AE161" s="169">
        <f t="shared" si="122"/>
        <v>-89.558286452373039</v>
      </c>
      <c r="AF161" s="98" t="str">
        <f t="shared" si="108"/>
        <v>-0.0000119284294234592</v>
      </c>
      <c r="AG161" s="98" t="str">
        <f t="shared" si="109"/>
        <v>9.47411119355125E-06i</v>
      </c>
      <c r="AH161" s="98">
        <f t="shared" si="123"/>
        <v>9.4741111935512498E-6</v>
      </c>
      <c r="AI161" s="98">
        <f t="shared" si="124"/>
        <v>1.5707963267948966</v>
      </c>
      <c r="AJ161" s="98" t="str">
        <f t="shared" si="110"/>
        <v>1+0.00818190905454302i</v>
      </c>
      <c r="AK161" s="98">
        <f t="shared" si="125"/>
        <v>1.0000334712577259</v>
      </c>
      <c r="AL161" s="98">
        <f t="shared" si="126"/>
        <v>8.1817264862961321E-3</v>
      </c>
      <c r="AM161" s="98" t="str">
        <f t="shared" si="111"/>
        <v>1+20.8348595024368i</v>
      </c>
      <c r="AN161" s="98">
        <f t="shared" si="127"/>
        <v>20.858843939352941</v>
      </c>
      <c r="AO161" s="98">
        <f t="shared" si="128"/>
        <v>1.5228366478721285</v>
      </c>
      <c r="AP161" s="168" t="str">
        <f t="shared" si="129"/>
        <v>-26.2201824591811+1.47358639681105i</v>
      </c>
      <c r="AQ161" s="98">
        <f t="shared" si="130"/>
        <v>28.386409729494204</v>
      </c>
      <c r="AR161" s="169">
        <f t="shared" si="131"/>
        <v>176.78333441412769</v>
      </c>
      <c r="AS161" s="168" t="str">
        <f t="shared" si="132"/>
        <v>0.568477162830815+11.7284445325167i</v>
      </c>
      <c r="AT161" s="190">
        <f t="shared" si="133"/>
        <v>21.394999437446959</v>
      </c>
      <c r="AU161" s="169">
        <f t="shared" si="134"/>
        <v>87.225047961754669</v>
      </c>
      <c r="AV161" s="225"/>
      <c r="AX161">
        <f t="shared" si="135"/>
        <v>0</v>
      </c>
      <c r="AY161">
        <f t="shared" si="136"/>
        <v>0</v>
      </c>
    </row>
    <row r="162" spans="14:51" x14ac:dyDescent="0.2">
      <c r="N162" s="170">
        <v>44</v>
      </c>
      <c r="O162" s="199">
        <f t="shared" si="102"/>
        <v>275.42287033381683</v>
      </c>
      <c r="P162" s="189" t="str">
        <f t="shared" si="103"/>
        <v>771.276595744681</v>
      </c>
      <c r="Q162" s="160" t="str">
        <f t="shared" si="104"/>
        <v>1+1765.14359078552i</v>
      </c>
      <c r="R162" s="160">
        <f t="shared" si="112"/>
        <v>1765.1438740485717</v>
      </c>
      <c r="S162" s="160">
        <f t="shared" si="113"/>
        <v>1.5702298007070268</v>
      </c>
      <c r="T162" s="160" t="str">
        <f t="shared" si="105"/>
        <v>1+0.00041532790371424i</v>
      </c>
      <c r="U162" s="160">
        <f t="shared" si="114"/>
        <v>1.00000008624863</v>
      </c>
      <c r="V162" s="160">
        <f t="shared" si="115"/>
        <v>4.153278798332663E-4</v>
      </c>
      <c r="W162" s="98" t="str">
        <f t="shared" si="106"/>
        <v>1-0.00117676239385701i</v>
      </c>
      <c r="X162" s="160">
        <f t="shared" si="116"/>
        <v>1.0000006923846261</v>
      </c>
      <c r="Y162" s="160">
        <f t="shared" si="117"/>
        <v>-1.1767618506758131E-3</v>
      </c>
      <c r="Z162" s="98" t="str">
        <f t="shared" si="107"/>
        <v>0.999969656896999-0.00805707110500634i</v>
      </c>
      <c r="AA162" s="160">
        <f t="shared" si="118"/>
        <v>1.0000021155525087</v>
      </c>
      <c r="AB162" s="160">
        <f t="shared" si="119"/>
        <v>-8.0571412345468683E-3</v>
      </c>
      <c r="AC162" s="171" t="str">
        <f t="shared" si="120"/>
        <v>0.00343534942570718-0.436934200087199i</v>
      </c>
      <c r="AD162" s="190">
        <f t="shared" si="121"/>
        <v>-7.1914107491665895</v>
      </c>
      <c r="AE162" s="169">
        <f t="shared" si="122"/>
        <v>-89.54952721140782</v>
      </c>
      <c r="AF162" s="98" t="str">
        <f t="shared" si="108"/>
        <v>-0.0000119284294234592</v>
      </c>
      <c r="AG162" s="98" t="str">
        <f t="shared" si="109"/>
        <v>9.69479159244964E-06i</v>
      </c>
      <c r="AH162" s="98">
        <f t="shared" si="123"/>
        <v>9.6947915924496406E-6</v>
      </c>
      <c r="AI162" s="98">
        <f t="shared" si="124"/>
        <v>1.5707963267948966</v>
      </c>
      <c r="AJ162" s="98" t="str">
        <f t="shared" si="110"/>
        <v>1+0.00837249019899234i</v>
      </c>
      <c r="AK162" s="98">
        <f t="shared" si="125"/>
        <v>1.000035048681861</v>
      </c>
      <c r="AL162" s="98">
        <f t="shared" si="126"/>
        <v>8.3722945739615681E-3</v>
      </c>
      <c r="AM162" s="98" t="str">
        <f t="shared" si="111"/>
        <v>1+21.3201657239977i</v>
      </c>
      <c r="AN162" s="98">
        <f t="shared" si="127"/>
        <v>21.343604814996141</v>
      </c>
      <c r="AO162" s="98">
        <f t="shared" si="128"/>
        <v>1.5239267267861654</v>
      </c>
      <c r="AP162" s="168" t="str">
        <f t="shared" si="129"/>
        <v>-26.2200997414483+1.44992318021153i</v>
      </c>
      <c r="AQ162" s="98">
        <f t="shared" si="130"/>
        <v>28.385946755584452</v>
      </c>
      <c r="AR162" s="169">
        <f t="shared" si="131"/>
        <v>176.8348725881051</v>
      </c>
      <c r="AS162" s="168" t="str">
        <f t="shared" si="132"/>
        <v>0.543445820344843+11.4614392995007i</v>
      </c>
      <c r="AT162" s="190">
        <f t="shared" si="133"/>
        <v>21.194536006417831</v>
      </c>
      <c r="AU162" s="169">
        <f t="shared" si="134"/>
        <v>87.285345376697251</v>
      </c>
      <c r="AV162" s="225"/>
      <c r="AX162">
        <f t="shared" si="135"/>
        <v>0</v>
      </c>
      <c r="AY162">
        <f t="shared" si="136"/>
        <v>0</v>
      </c>
    </row>
    <row r="163" spans="14:51" x14ac:dyDescent="0.2">
      <c r="N163" s="170">
        <v>45</v>
      </c>
      <c r="O163" s="199">
        <f t="shared" si="102"/>
        <v>281.83829312644554</v>
      </c>
      <c r="P163" s="189" t="str">
        <f t="shared" si="103"/>
        <v>771.276595744681</v>
      </c>
      <c r="Q163" s="160" t="str">
        <f t="shared" si="104"/>
        <v>1+1806.25906682011i</v>
      </c>
      <c r="R163" s="160">
        <f t="shared" si="112"/>
        <v>1806.2593436353086</v>
      </c>
      <c r="S163" s="160">
        <f t="shared" si="113"/>
        <v>1.570242696412522</v>
      </c>
      <c r="T163" s="160" t="str">
        <f t="shared" si="105"/>
        <v>1+0.000425002133369438i</v>
      </c>
      <c r="U163" s="160">
        <f t="shared" si="114"/>
        <v>1.0000000903134025</v>
      </c>
      <c r="V163" s="160">
        <f t="shared" si="115"/>
        <v>4.250021077805138E-4</v>
      </c>
      <c r="W163" s="98" t="str">
        <f t="shared" si="106"/>
        <v>1-0.00120417271121341i</v>
      </c>
      <c r="X163" s="160">
        <f t="shared" si="116"/>
        <v>1.0000007250156964</v>
      </c>
      <c r="Y163" s="160">
        <f t="shared" si="117"/>
        <v>-1.2041721291842942E-3</v>
      </c>
      <c r="Z163" s="98" t="str">
        <f t="shared" si="107"/>
        <v>0.999968226870611-0.00824474440006074i</v>
      </c>
      <c r="AA163" s="160">
        <f t="shared" si="118"/>
        <v>1.0000022152780343</v>
      </c>
      <c r="AB163" s="160">
        <f t="shared" si="119"/>
        <v>-8.2448195451333712E-3</v>
      </c>
      <c r="AC163" s="171" t="str">
        <f t="shared" si="120"/>
        <v>0.00342420814432218-0.426987807110318i</v>
      </c>
      <c r="AD163" s="190">
        <f t="shared" si="121"/>
        <v>-7.3914112338990421</v>
      </c>
      <c r="AE163" s="169">
        <f t="shared" si="122"/>
        <v>-89.540529106646176</v>
      </c>
      <c r="AF163" s="98" t="str">
        <f t="shared" si="108"/>
        <v>-0.0000119284294234592</v>
      </c>
      <c r="AG163" s="98" t="str">
        <f t="shared" si="109"/>
        <v>9.92061229817609E-06i</v>
      </c>
      <c r="AH163" s="98">
        <f t="shared" si="123"/>
        <v>9.9206122981760895E-6</v>
      </c>
      <c r="AI163" s="98">
        <f t="shared" si="124"/>
        <v>1.5707963267948966</v>
      </c>
      <c r="AJ163" s="98" t="str">
        <f t="shared" si="110"/>
        <v>1+0.00856751054856815i</v>
      </c>
      <c r="AK163" s="98">
        <f t="shared" si="125"/>
        <v>1.0000367004450386</v>
      </c>
      <c r="AL163" s="98">
        <f t="shared" si="126"/>
        <v>8.5673009329865629E-3</v>
      </c>
      <c r="AM163" s="98" t="str">
        <f t="shared" si="111"/>
        <v>1+21.8167761796312i</v>
      </c>
      <c r="AN163" s="98">
        <f t="shared" si="127"/>
        <v>21.839682297875203</v>
      </c>
      <c r="AO163" s="98">
        <f t="shared" si="128"/>
        <v>1.5249921001967408</v>
      </c>
      <c r="AP163" s="168" t="str">
        <f t="shared" si="129"/>
        <v>-26.2200131259081+1.42702866678356i</v>
      </c>
      <c r="AQ163" s="98">
        <f t="shared" si="130"/>
        <v>28.385503313246701</v>
      </c>
      <c r="AR163" s="169">
        <f t="shared" si="131"/>
        <v>176.88474094678617</v>
      </c>
      <c r="AS163" s="168" t="str">
        <f t="shared" si="132"/>
        <v>0.519541058623504+11.2005123502182i</v>
      </c>
      <c r="AT163" s="190">
        <f t="shared" si="133"/>
        <v>20.994092079347631</v>
      </c>
      <c r="AU163" s="169">
        <f t="shared" si="134"/>
        <v>87.344211840140005</v>
      </c>
      <c r="AV163" s="225"/>
      <c r="AX163">
        <f t="shared" si="135"/>
        <v>0</v>
      </c>
      <c r="AY163">
        <f t="shared" si="136"/>
        <v>0</v>
      </c>
    </row>
    <row r="164" spans="14:51" x14ac:dyDescent="0.2">
      <c r="N164" s="170">
        <v>46</v>
      </c>
      <c r="O164" s="199">
        <f t="shared" si="102"/>
        <v>288.40315031266073</v>
      </c>
      <c r="P164" s="189" t="str">
        <f t="shared" si="103"/>
        <v>771.276595744681</v>
      </c>
      <c r="Q164" s="160" t="str">
        <f t="shared" si="104"/>
        <v>1+1848.3322453206i</v>
      </c>
      <c r="R164" s="160">
        <f t="shared" si="112"/>
        <v>1848.3325158347159</v>
      </c>
      <c r="S164" s="160">
        <f t="shared" si="113"/>
        <v>1.5702552985761005</v>
      </c>
      <c r="T164" s="160" t="str">
        <f t="shared" si="105"/>
        <v>1+0.000434901704781316i</v>
      </c>
      <c r="U164" s="160">
        <f t="shared" si="114"/>
        <v>1.0000000945697418</v>
      </c>
      <c r="V164" s="160">
        <f t="shared" si="115"/>
        <v>4.3490167736228981E-4</v>
      </c>
      <c r="W164" s="98" t="str">
        <f t="shared" si="106"/>
        <v>1-0.0012322214968804i</v>
      </c>
      <c r="X164" s="160">
        <f t="shared" si="116"/>
        <v>1.0000007591846205</v>
      </c>
      <c r="Y164" s="160">
        <f t="shared" si="117"/>
        <v>-1.2322208732249919E-3</v>
      </c>
      <c r="Z164" s="98" t="str">
        <f t="shared" si="107"/>
        <v>0.999966729449156-0.00843678916772815i</v>
      </c>
      <c r="AA164" s="160">
        <f t="shared" si="118"/>
        <v>1.0000023197056607</v>
      </c>
      <c r="AB164" s="160">
        <f t="shared" si="119"/>
        <v>-8.4368696870300141E-3</v>
      </c>
      <c r="AC164" s="171" t="str">
        <f t="shared" si="120"/>
        <v>0.00341356829561189-0.417267808163625i</v>
      </c>
      <c r="AD164" s="190">
        <f t="shared" si="121"/>
        <v>-7.5914117472752647</v>
      </c>
      <c r="AE164" s="169">
        <f t="shared" si="122"/>
        <v>-89.531287365944522</v>
      </c>
      <c r="AF164" s="98" t="str">
        <f t="shared" si="108"/>
        <v>-0.0000119284294234592</v>
      </c>
      <c r="AG164" s="98" t="str">
        <f t="shared" si="109"/>
        <v>0.0000101516930438579i</v>
      </c>
      <c r="AH164" s="98">
        <f t="shared" si="123"/>
        <v>1.01516930438579E-5</v>
      </c>
      <c r="AI164" s="98">
        <f t="shared" si="124"/>
        <v>1.5707963267948966</v>
      </c>
      <c r="AJ164" s="98" t="str">
        <f t="shared" si="110"/>
        <v>1+0.00876707350564123i</v>
      </c>
      <c r="AK164" s="98">
        <f t="shared" si="125"/>
        <v>1.0000384300504923</v>
      </c>
      <c r="AL164" s="98">
        <f t="shared" si="126"/>
        <v>8.7668488989650472E-3</v>
      </c>
      <c r="AM164" s="98" t="str">
        <f t="shared" si="111"/>
        <v>1+22.3249541787743i</v>
      </c>
      <c r="AN164" s="98">
        <f t="shared" si="127"/>
        <v>22.347339418471542</v>
      </c>
      <c r="AO164" s="98">
        <f t="shared" si="128"/>
        <v>1.526033323299671</v>
      </c>
      <c r="AP164" s="168" t="str">
        <f t="shared" si="129"/>
        <v>-26.2199224289166+1.40489071288424i</v>
      </c>
      <c r="AQ164" s="98">
        <f t="shared" si="130"/>
        <v>28.385078467741906</v>
      </c>
      <c r="AR164" s="169">
        <f t="shared" si="131"/>
        <v>176.93296537985461</v>
      </c>
      <c r="AS164" s="168" t="str">
        <f t="shared" si="132"/>
        <v>0.496712172557887+10.9455252525306i</v>
      </c>
      <c r="AT164" s="190">
        <f t="shared" si="133"/>
        <v>20.793666720466639</v>
      </c>
      <c r="AU164" s="169">
        <f t="shared" si="134"/>
        <v>87.4016780139101</v>
      </c>
      <c r="AV164" s="225"/>
      <c r="AX164">
        <f t="shared" si="135"/>
        <v>0</v>
      </c>
      <c r="AY164">
        <f t="shared" si="136"/>
        <v>0</v>
      </c>
    </row>
    <row r="165" spans="14:51" x14ac:dyDescent="0.2">
      <c r="N165" s="170">
        <v>47</v>
      </c>
      <c r="O165" s="199">
        <f t="shared" si="102"/>
        <v>295.12092266663871</v>
      </c>
      <c r="P165" s="189" t="str">
        <f t="shared" si="103"/>
        <v>771.276595744681</v>
      </c>
      <c r="Q165" s="160" t="str">
        <f t="shared" si="104"/>
        <v>1+1891.38543404312i</v>
      </c>
      <c r="R165" s="160">
        <f t="shared" si="112"/>
        <v>1891.385698399584</v>
      </c>
      <c r="S165" s="160">
        <f t="shared" si="113"/>
        <v>1.5702676138795797</v>
      </c>
      <c r="T165" s="160" t="str">
        <f t="shared" si="105"/>
        <v>1+0.000445031866833674i</v>
      </c>
      <c r="U165" s="160">
        <f t="shared" si="114"/>
        <v>1.0000000990266764</v>
      </c>
      <c r="V165" s="160">
        <f t="shared" si="115"/>
        <v>4.4503183745365826E-4</v>
      </c>
      <c r="W165" s="98" t="str">
        <f t="shared" si="106"/>
        <v>1-0.00126092362269541i</v>
      </c>
      <c r="X165" s="160">
        <f t="shared" si="116"/>
        <v>1.0000007949638752</v>
      </c>
      <c r="Y165" s="160">
        <f t="shared" si="117"/>
        <v>-1.2609229544366289E-3</v>
      </c>
      <c r="Z165" s="98" t="str">
        <f t="shared" si="107"/>
        <v>0.999965161456402-0.00863330723268638i</v>
      </c>
      <c r="AA165" s="160">
        <f t="shared" si="118"/>
        <v>1.0000024290572009</v>
      </c>
      <c r="AB165" s="160">
        <f t="shared" si="119"/>
        <v>-8.6333935105671316E-3</v>
      </c>
      <c r="AC165" s="171" t="str">
        <f t="shared" si="120"/>
        <v>0.00340340731106947-0.407769049611976i</v>
      </c>
      <c r="AD165" s="190">
        <f t="shared" si="121"/>
        <v>-7.7914122903867771</v>
      </c>
      <c r="AE165" s="169">
        <f t="shared" si="122"/>
        <v>-89.521797087892494</v>
      </c>
      <c r="AF165" s="98" t="str">
        <f t="shared" si="108"/>
        <v>-0.0000119284294234592</v>
      </c>
      <c r="AG165" s="98" t="str">
        <f t="shared" si="109"/>
        <v>0.000010388156351565i</v>
      </c>
      <c r="AH165" s="98">
        <f t="shared" si="123"/>
        <v>1.0388156351565E-5</v>
      </c>
      <c r="AI165" s="98">
        <f t="shared" si="124"/>
        <v>1.5707963267948966</v>
      </c>
      <c r="AJ165" s="98" t="str">
        <f t="shared" si="110"/>
        <v>1+0.00897128488113293i</v>
      </c>
      <c r="AK165" s="98">
        <f t="shared" si="125"/>
        <v>1.0000402411665335</v>
      </c>
      <c r="AL165" s="98">
        <f t="shared" si="126"/>
        <v>8.9710442112663578E-3</v>
      </c>
      <c r="AM165" s="98" t="str">
        <f t="shared" si="111"/>
        <v>1+22.8449691641286i</v>
      </c>
      <c r="AN165" s="98">
        <f t="shared" si="127"/>
        <v>22.866845346701993</v>
      </c>
      <c r="AO165" s="98">
        <f t="shared" si="128"/>
        <v>1.5270509391293889</v>
      </c>
      <c r="AP165" s="168" t="str">
        <f t="shared" si="129"/>
        <v>-26.2198274581801+1.38349757567473i</v>
      </c>
      <c r="AQ165" s="98">
        <f t="shared" si="130"/>
        <v>28.384671323264186</v>
      </c>
      <c r="AR165" s="169">
        <f t="shared" si="131"/>
        <v>176.97957094247192</v>
      </c>
      <c r="AS165" s="168" t="str">
        <f t="shared" si="132"/>
        <v>0.474910739107207+10.696342729376i</v>
      </c>
      <c r="AT165" s="190">
        <f t="shared" si="133"/>
        <v>20.59325903287742</v>
      </c>
      <c r="AU165" s="169">
        <f t="shared" si="134"/>
        <v>87.457773854579443</v>
      </c>
      <c r="AV165" s="225"/>
      <c r="AX165">
        <f t="shared" si="135"/>
        <v>0</v>
      </c>
      <c r="AY165">
        <f t="shared" si="136"/>
        <v>0</v>
      </c>
    </row>
    <row r="166" spans="14:51" x14ac:dyDescent="0.2">
      <c r="N166" s="170">
        <v>48</v>
      </c>
      <c r="O166" s="199">
        <f t="shared" si="102"/>
        <v>301.99517204020168</v>
      </c>
      <c r="P166" s="189" t="str">
        <f t="shared" si="103"/>
        <v>771.276595744681</v>
      </c>
      <c r="Q166" s="160" t="str">
        <f t="shared" si="104"/>
        <v>1+1935.44146035821i</v>
      </c>
      <c r="R166" s="160">
        <f t="shared" si="112"/>
        <v>1935.4417186971868</v>
      </c>
      <c r="S166" s="160">
        <f t="shared" si="113"/>
        <v>1.570279648852682</v>
      </c>
      <c r="T166" s="160" t="str">
        <f t="shared" si="105"/>
        <v>1+0.00045539799067252i</v>
      </c>
      <c r="U166" s="160">
        <f t="shared" si="114"/>
        <v>1.0000001036936597</v>
      </c>
      <c r="V166" s="160">
        <f t="shared" si="115"/>
        <v>4.5539795919126615E-4</v>
      </c>
      <c r="W166" s="98" t="str">
        <f t="shared" si="106"/>
        <v>1-0.00129029430690547i</v>
      </c>
      <c r="X166" s="160">
        <f t="shared" si="116"/>
        <v>1.0000008324293528</v>
      </c>
      <c r="Y166" s="160">
        <f t="shared" si="117"/>
        <v>-1.2902935908533173E-3</v>
      </c>
      <c r="Z166" s="98" t="str">
        <f t="shared" si="107"/>
        <v>0.999963519566426-0.00883440279141473i</v>
      </c>
      <c r="AA166" s="160">
        <f t="shared" si="118"/>
        <v>1.0000025435649427</v>
      </c>
      <c r="AB166" s="160">
        <f t="shared" si="119"/>
        <v>-8.834495239711037E-3</v>
      </c>
      <c r="AC166" s="171" t="str">
        <f t="shared" si="120"/>
        <v>0.00339370363791918-0.398486495122323i</v>
      </c>
      <c r="AD166" s="190">
        <f t="shared" si="121"/>
        <v>-7.9914128643885718</v>
      </c>
      <c r="AE166" s="169">
        <f t="shared" si="122"/>
        <v>-89.512053239207901</v>
      </c>
      <c r="AF166" s="98" t="str">
        <f t="shared" si="108"/>
        <v>-0.0000119284294234592</v>
      </c>
      <c r="AG166" s="98" t="str">
        <f t="shared" si="109"/>
        <v>0.0000106301275972733i</v>
      </c>
      <c r="AH166" s="98">
        <f t="shared" si="123"/>
        <v>1.06301275972733E-5</v>
      </c>
      <c r="AI166" s="98">
        <f t="shared" si="124"/>
        <v>1.5707963267948966</v>
      </c>
      <c r="AJ166" s="98" t="str">
        <f t="shared" si="110"/>
        <v>1+0.00918025295061761i</v>
      </c>
      <c r="AK166" s="98">
        <f t="shared" si="125"/>
        <v>1.0000421376343285</v>
      </c>
      <c r="AL166" s="98">
        <f t="shared" si="126"/>
        <v>9.1799950687962532E-3</v>
      </c>
      <c r="AM166" s="98" t="str">
        <f t="shared" si="111"/>
        <v>1+23.3770968545227i</v>
      </c>
      <c r="AN166" s="98">
        <f t="shared" si="127"/>
        <v>23.398475534652576</v>
      </c>
      <c r="AO166" s="98">
        <f t="shared" si="128"/>
        <v>1.5280454788042068</v>
      </c>
      <c r="AP166" s="168" t="str">
        <f t="shared" si="129"/>
        <v>-26.2197280123481+1.36283790687013i</v>
      </c>
      <c r="AQ166" s="98">
        <f t="shared" si="130"/>
        <v>28.384281021085837</v>
      </c>
      <c r="AR166" s="169">
        <f t="shared" si="131"/>
        <v>177.02458186613521</v>
      </c>
      <c r="AS166" s="168" t="str">
        <f t="shared" si="132"/>
        <v>0.454090514587764+10.4528325866636i</v>
      </c>
      <c r="AT166" s="190">
        <f t="shared" si="133"/>
        <v>20.392868156697247</v>
      </c>
      <c r="AU166" s="169">
        <f t="shared" si="134"/>
        <v>87.51252862692732</v>
      </c>
      <c r="AV166" s="225"/>
      <c r="AX166">
        <f t="shared" si="135"/>
        <v>0</v>
      </c>
      <c r="AY166">
        <f t="shared" si="136"/>
        <v>0</v>
      </c>
    </row>
    <row r="167" spans="14:51" x14ac:dyDescent="0.2">
      <c r="N167" s="170">
        <v>49</v>
      </c>
      <c r="O167" s="199">
        <f t="shared" si="102"/>
        <v>309.02954325135937</v>
      </c>
      <c r="P167" s="189" t="str">
        <f t="shared" si="103"/>
        <v>771.276595744681</v>
      </c>
      <c r="Q167" s="160" t="str">
        <f t="shared" si="104"/>
        <v>1+1980.52368335419i</v>
      </c>
      <c r="R167" s="160">
        <f t="shared" si="112"/>
        <v>1980.5239358126546</v>
      </c>
      <c r="S167" s="160">
        <f t="shared" si="113"/>
        <v>1.5702914098764955</v>
      </c>
      <c r="T167" s="160" t="str">
        <f t="shared" si="105"/>
        <v>1+0.000466005572553926i</v>
      </c>
      <c r="U167" s="160">
        <f t="shared" si="114"/>
        <v>1.000000108580591</v>
      </c>
      <c r="V167" s="160">
        <f t="shared" si="115"/>
        <v>4.6600553882115492E-4</v>
      </c>
      <c r="W167" s="98" t="str">
        <f t="shared" si="106"/>
        <v>1-0.00132034912223612i</v>
      </c>
      <c r="X167" s="160">
        <f t="shared" si="116"/>
        <v>1.0000008716605224</v>
      </c>
      <c r="Y167" s="160">
        <f t="shared" si="117"/>
        <v>-1.3203483549724512E-3</v>
      </c>
      <c r="Z167" s="98" t="str">
        <f t="shared" si="107"/>
        <v>0.999961800296559-0.00904018246744022i</v>
      </c>
      <c r="AA167" s="160">
        <f t="shared" si="118"/>
        <v>1.0000026634721431</v>
      </c>
      <c r="AB167" s="160">
        <f t="shared" si="119"/>
        <v>-9.0402815274414593E-3</v>
      </c>
      <c r="AC167" s="171" t="str">
        <f t="shared" si="120"/>
        <v>0.00338443669340067-0.389415222993557i</v>
      </c>
      <c r="AD167" s="190">
        <f t="shared" si="121"/>
        <v>-8.1914134705014288</v>
      </c>
      <c r="AE167" s="169">
        <f t="shared" si="122"/>
        <v>-89.502050652061186</v>
      </c>
      <c r="AF167" s="98" t="str">
        <f t="shared" si="108"/>
        <v>-0.0000119284294234592</v>
      </c>
      <c r="AG167" s="98" t="str">
        <f t="shared" si="109"/>
        <v>0.00001087773507734i</v>
      </c>
      <c r="AH167" s="98">
        <f t="shared" si="123"/>
        <v>1.087773507734E-5</v>
      </c>
      <c r="AI167" s="98">
        <f t="shared" si="124"/>
        <v>1.5707963267948966</v>
      </c>
      <c r="AJ167" s="98" t="str">
        <f t="shared" si="110"/>
        <v>1+0.0093940885117317i</v>
      </c>
      <c r="AK167" s="98">
        <f t="shared" si="125"/>
        <v>1.0000441234760424</v>
      </c>
      <c r="AL167" s="98">
        <f t="shared" si="126"/>
        <v>9.3938121870401122E-3</v>
      </c>
      <c r="AM167" s="98" t="str">
        <f t="shared" si="111"/>
        <v>1+23.9216193911015i</v>
      </c>
      <c r="AN167" s="98">
        <f t="shared" si="127"/>
        <v>23.942511862641386</v>
      </c>
      <c r="AO167" s="98">
        <f t="shared" si="128"/>
        <v>1.5290174617680756</v>
      </c>
      <c r="AP167" s="168" t="str">
        <f t="shared" si="129"/>
        <v>-26.2196238805869+1.34290074669695i</v>
      </c>
      <c r="AQ167" s="98">
        <f t="shared" si="130"/>
        <v>28.383906737776989</v>
      </c>
      <c r="AR167" s="169">
        <f t="shared" si="131"/>
        <v>177.06802156926051</v>
      </c>
      <c r="AS167" s="168" t="str">
        <f t="shared" si="132"/>
        <v>0.434207336584584+10.2148656428287i</v>
      </c>
      <c r="AT167" s="190">
        <f t="shared" si="133"/>
        <v>20.192493267275601</v>
      </c>
      <c r="AU167" s="169">
        <f t="shared" si="134"/>
        <v>87.565970917199337</v>
      </c>
      <c r="AV167" s="225"/>
      <c r="AX167">
        <f t="shared" si="135"/>
        <v>0</v>
      </c>
      <c r="AY167">
        <f t="shared" si="136"/>
        <v>0</v>
      </c>
    </row>
    <row r="168" spans="14:51" x14ac:dyDescent="0.2">
      <c r="N168" s="170">
        <v>50</v>
      </c>
      <c r="O168" s="199">
        <f t="shared" si="102"/>
        <v>316.22776601683825</v>
      </c>
      <c r="P168" s="189" t="str">
        <f t="shared" si="103"/>
        <v>771.276595744681</v>
      </c>
      <c r="Q168" s="160" t="str">
        <f t="shared" si="104"/>
        <v>1+2026.6560062224i</v>
      </c>
      <c r="R168" s="160">
        <f t="shared" si="112"/>
        <v>2026.6562529342091</v>
      </c>
      <c r="S168" s="160">
        <f t="shared" si="113"/>
        <v>1.5703029031868576</v>
      </c>
      <c r="T168" s="160" t="str">
        <f t="shared" si="105"/>
        <v>1+0.000476860236758212i</v>
      </c>
      <c r="U168" s="160">
        <f t="shared" si="114"/>
        <v>1.0000001136978363</v>
      </c>
      <c r="V168" s="160">
        <f t="shared" si="115"/>
        <v>4.768602006128968E-4</v>
      </c>
      <c r="W168" s="98" t="str">
        <f t="shared" si="106"/>
        <v>1-0.00135110400414827i</v>
      </c>
      <c r="X168" s="160">
        <f t="shared" si="116"/>
        <v>1.0000009127405984</v>
      </c>
      <c r="Y168" s="160">
        <f t="shared" si="117"/>
        <v>-1.351103182010477E-3</v>
      </c>
      <c r="Z168" s="98" t="str">
        <f t="shared" si="107"/>
        <v>0.99996-0.0092507553678709i</v>
      </c>
      <c r="AA168" s="160">
        <f t="shared" si="118"/>
        <v>1.0000027890335488</v>
      </c>
      <c r="AB168" s="160">
        <f t="shared" si="119"/>
        <v>-9.2508615124253808E-3</v>
      </c>
      <c r="AC168" s="171" t="str">
        <f t="shared" si="120"/>
        <v>0.00337558682111042-0.380550423547115i</v>
      </c>
      <c r="AD168" s="190">
        <f t="shared" si="121"/>
        <v>-8.3914141100144093</v>
      </c>
      <c r="AE168" s="169">
        <f t="shared" si="122"/>
        <v>-89.491784021328272</v>
      </c>
      <c r="AF168" s="98" t="str">
        <f t="shared" si="108"/>
        <v>-0.0000119284294234592</v>
      </c>
      <c r="AG168" s="98" t="str">
        <f t="shared" si="109"/>
        <v>0.0000111311100765286i</v>
      </c>
      <c r="AH168" s="98">
        <f t="shared" si="123"/>
        <v>1.11311100765286E-5</v>
      </c>
      <c r="AI168" s="98">
        <f t="shared" si="124"/>
        <v>1.5707963267948966</v>
      </c>
      <c r="AJ168" s="98" t="str">
        <f t="shared" si="110"/>
        <v>1+0.00961290494292018i</v>
      </c>
      <c r="AK168" s="98">
        <f t="shared" si="125"/>
        <v>1.0000462029033668</v>
      </c>
      <c r="AL168" s="98">
        <f t="shared" si="126"/>
        <v>9.6126088564174369E-3</v>
      </c>
      <c r="AM168" s="98" t="str">
        <f t="shared" si="111"/>
        <v>1+24.4788254869216i</v>
      </c>
      <c r="AN168" s="98">
        <f t="shared" si="127"/>
        <v>24.499242788689667</v>
      </c>
      <c r="AO168" s="98">
        <f t="shared" si="128"/>
        <v>1.529967396028789</v>
      </c>
      <c r="AP168" s="168" t="str">
        <f t="shared" si="129"/>
        <v>-26.2195148421334+1.32367551805468i</v>
      </c>
      <c r="AQ168" s="98">
        <f t="shared" si="130"/>
        <v>28.383547683496595</v>
      </c>
      <c r="AR168" s="169">
        <f t="shared" si="131"/>
        <v>177.10991266748741</v>
      </c>
      <c r="AS168" s="168" t="str">
        <f t="shared" si="132"/>
        <v>0.415219030277641+9.9823156600079i</v>
      </c>
      <c r="AT168" s="190">
        <f t="shared" si="133"/>
        <v>19.992133573482182</v>
      </c>
      <c r="AU168" s="169">
        <f t="shared" si="134"/>
        <v>87.618128646159121</v>
      </c>
      <c r="AV168" s="225"/>
      <c r="AX168">
        <f t="shared" si="135"/>
        <v>0</v>
      </c>
      <c r="AY168">
        <f t="shared" si="136"/>
        <v>0</v>
      </c>
    </row>
    <row r="169" spans="14:51" x14ac:dyDescent="0.2">
      <c r="N169" s="170">
        <v>51</v>
      </c>
      <c r="O169" s="199">
        <f t="shared" si="102"/>
        <v>323.59365692962825</v>
      </c>
      <c r="P169" s="189" t="str">
        <f t="shared" si="103"/>
        <v>771.276595744681</v>
      </c>
      <c r="Q169" s="160" t="str">
        <f t="shared" si="104"/>
        <v>1+2073.86288893109i</v>
      </c>
      <c r="R169" s="160">
        <f t="shared" si="112"/>
        <v>2073.8631300270531</v>
      </c>
      <c r="S169" s="160">
        <f t="shared" si="113"/>
        <v>1.5703141348776612</v>
      </c>
      <c r="T169" s="160" t="str">
        <f t="shared" si="105"/>
        <v>1+0.00048796773857202i</v>
      </c>
      <c r="U169" s="160">
        <f t="shared" si="114"/>
        <v>1.00000011905625</v>
      </c>
      <c r="V169" s="160">
        <f t="shared" si="115"/>
        <v>4.8796769984161723E-4</v>
      </c>
      <c r="W169" s="98" t="str">
        <f t="shared" si="106"/>
        <v>1-0.00138257525928739i</v>
      </c>
      <c r="X169" s="160">
        <f t="shared" si="116"/>
        <v>1.0000009557567171</v>
      </c>
      <c r="Y169" s="160">
        <f t="shared" si="117"/>
        <v>-1.3825743783509186E-3</v>
      </c>
      <c r="Z169" s="98" t="str">
        <f t="shared" si="107"/>
        <v>0.999958114858078-0.00946623314124585i</v>
      </c>
      <c r="AA169" s="160">
        <f t="shared" si="118"/>
        <v>1.000002920515938</v>
      </c>
      <c r="AB169" s="160">
        <f t="shared" si="119"/>
        <v>-9.4663468770176899E-3</v>
      </c>
      <c r="AC169" s="171" t="str">
        <f t="shared" si="120"/>
        <v>0.00336713524930791-0.371887396576949i</v>
      </c>
      <c r="AD169" s="190">
        <f t="shared" si="121"/>
        <v>-8.5914147842880517</v>
      </c>
      <c r="AE169" s="169">
        <f t="shared" si="122"/>
        <v>-89.481247901769933</v>
      </c>
      <c r="AF169" s="98" t="str">
        <f t="shared" si="108"/>
        <v>-0.0000119284294234592</v>
      </c>
      <c r="AG169" s="98" t="str">
        <f t="shared" si="109"/>
        <v>0.0000113903869376174i</v>
      </c>
      <c r="AH169" s="98">
        <f t="shared" si="123"/>
        <v>1.13903869376174E-5</v>
      </c>
      <c r="AI169" s="98">
        <f t="shared" si="124"/>
        <v>1.5707963267948966</v>
      </c>
      <c r="AJ169" s="98" t="str">
        <f t="shared" si="110"/>
        <v>1+0.00983681826355123i</v>
      </c>
      <c r="AK169" s="98">
        <f t="shared" si="125"/>
        <v>1.0000483803264471</v>
      </c>
      <c r="AL169" s="98">
        <f t="shared" si="126"/>
        <v>9.8365010019764703E-3</v>
      </c>
      <c r="AM169" s="98" t="str">
        <f t="shared" si="111"/>
        <v>1+25.0490105800304i</v>
      </c>
      <c r="AN169" s="98">
        <f t="shared" si="127"/>
        <v>25.068963501478777</v>
      </c>
      <c r="AO169" s="98">
        <f t="shared" si="128"/>
        <v>1.5308957783925805</v>
      </c>
      <c r="AP169" s="168" t="str">
        <f t="shared" si="129"/>
        <v>-26.2194006658281+1.30515202087832i</v>
      </c>
      <c r="AQ169" s="98">
        <f t="shared" si="130"/>
        <v>28.383203100351473</v>
      </c>
      <c r="AR169" s="169">
        <f t="shared" si="131"/>
        <v>177.15027698370037</v>
      </c>
      <c r="AS169" s="168" t="str">
        <f t="shared" si="132"/>
        <v>0.397085318983945+9.75505927679794i</v>
      </c>
      <c r="AT169" s="190">
        <f t="shared" si="133"/>
        <v>19.791788316063418</v>
      </c>
      <c r="AU169" s="169">
        <f t="shared" si="134"/>
        <v>87.669029081930447</v>
      </c>
      <c r="AV169" s="225"/>
      <c r="AX169">
        <f t="shared" si="135"/>
        <v>0</v>
      </c>
      <c r="AY169">
        <f t="shared" si="136"/>
        <v>0</v>
      </c>
    </row>
    <row r="170" spans="14:51" x14ac:dyDescent="0.2">
      <c r="N170" s="170">
        <v>52</v>
      </c>
      <c r="O170" s="199">
        <f t="shared" si="102"/>
        <v>331.13112148259137</v>
      </c>
      <c r="P170" s="189" t="str">
        <f t="shared" si="103"/>
        <v>771.276595744681</v>
      </c>
      <c r="Q170" s="160" t="str">
        <f t="shared" si="104"/>
        <v>1+2122.16936119431i</v>
      </c>
      <c r="R170" s="160">
        <f t="shared" si="112"/>
        <v>2122.1695968022595</v>
      </c>
      <c r="S170" s="160">
        <f t="shared" si="113"/>
        <v>1.5703251109040866</v>
      </c>
      <c r="T170" s="160" t="str">
        <f t="shared" si="105"/>
        <v>1+0.000499333967339836i</v>
      </c>
      <c r="U170" s="160">
        <f t="shared" si="114"/>
        <v>1.0000001246671977</v>
      </c>
      <c r="V170" s="160">
        <f t="shared" si="115"/>
        <v>4.9933392583946198E-4</v>
      </c>
      <c r="W170" s="98" t="str">
        <f t="shared" si="106"/>
        <v>1-0.00141477957412954i</v>
      </c>
      <c r="X170" s="160">
        <f t="shared" si="116"/>
        <v>1.000001000800121</v>
      </c>
      <c r="Y170" s="160">
        <f t="shared" si="117"/>
        <v>-1.4147786301891554E-3</v>
      </c>
      <c r="Z170" s="98" t="str">
        <f t="shared" si="107"/>
        <v>0.999956140872154-0.00968673003673274i</v>
      </c>
      <c r="AA170" s="160">
        <f t="shared" si="118"/>
        <v>1.0000030581986916</v>
      </c>
      <c r="AB170" s="160">
        <f t="shared" si="119"/>
        <v>-9.6868519066201034E-3</v>
      </c>
      <c r="AC170" s="171" t="str">
        <f t="shared" si="120"/>
        <v>0.00335906405109883-0.363421548857576i</v>
      </c>
      <c r="AD170" s="190">
        <f t="shared" si="121"/>
        <v>-8.791415494756663</v>
      </c>
      <c r="AE170" s="169">
        <f t="shared" si="122"/>
        <v>-89.470436705136336</v>
      </c>
      <c r="AF170" s="98" t="str">
        <f t="shared" si="108"/>
        <v>-0.0000119284294234592</v>
      </c>
      <c r="AG170" s="98" t="str">
        <f t="shared" si="109"/>
        <v>0.0000116557031326301i</v>
      </c>
      <c r="AH170" s="98">
        <f t="shared" si="123"/>
        <v>1.16557031326301E-5</v>
      </c>
      <c r="AI170" s="98">
        <f t="shared" si="124"/>
        <v>1.5707963267948966</v>
      </c>
      <c r="AJ170" s="98" t="str">
        <f t="shared" si="110"/>
        <v>1+0.0100659471954313i</v>
      </c>
      <c r="AK170" s="98">
        <f t="shared" si="125"/>
        <v>1.0000506603632344</v>
      </c>
      <c r="AL170" s="98">
        <f t="shared" si="126"/>
        <v>1.0065607244459228E-2</v>
      </c>
      <c r="AM170" s="98" t="str">
        <f t="shared" si="111"/>
        <v>1+25.6324769901116i</v>
      </c>
      <c r="AN170" s="98">
        <f t="shared" si="127"/>
        <v>25.651976076875648</v>
      </c>
      <c r="AO170" s="98">
        <f t="shared" si="128"/>
        <v>1.5318030946950822</v>
      </c>
      <c r="AP170" s="168" t="str">
        <f t="shared" si="129"/>
        <v>-26.2192811096251+1.28732042669871i</v>
      </c>
      <c r="AQ170" s="98">
        <f t="shared" si="130"/>
        <v>28.382872260819777</v>
      </c>
      <c r="AR170" s="169">
        <f t="shared" si="131"/>
        <v>177.18913555776277</v>
      </c>
      <c r="AS170" s="168" t="str">
        <f t="shared" si="132"/>
        <v>0.379767738725844+9.53297594255971i</v>
      </c>
      <c r="AT170" s="190">
        <f t="shared" si="133"/>
        <v>19.591456766063118</v>
      </c>
      <c r="AU170" s="169">
        <f t="shared" si="134"/>
        <v>87.718698852626446</v>
      </c>
      <c r="AV170" s="225"/>
      <c r="AX170">
        <f t="shared" si="135"/>
        <v>0</v>
      </c>
      <c r="AY170">
        <f t="shared" si="136"/>
        <v>0</v>
      </c>
    </row>
    <row r="171" spans="14:51" x14ac:dyDescent="0.2">
      <c r="N171" s="170">
        <v>53</v>
      </c>
      <c r="O171" s="199">
        <f t="shared" si="102"/>
        <v>338.84415613920277</v>
      </c>
      <c r="P171" s="189" t="str">
        <f t="shared" si="103"/>
        <v>771.276595744681</v>
      </c>
      <c r="Q171" s="160" t="str">
        <f t="shared" si="104"/>
        <v>1+2171.60103574305i</v>
      </c>
      <c r="R171" s="160">
        <f t="shared" si="112"/>
        <v>2171.6012659879088</v>
      </c>
      <c r="S171" s="160">
        <f t="shared" si="113"/>
        <v>1.5703358370857572</v>
      </c>
      <c r="T171" s="160" t="str">
        <f t="shared" si="105"/>
        <v>1+0.0005109649495866i</v>
      </c>
      <c r="U171" s="160">
        <f t="shared" si="114"/>
        <v>1.0000001305425814</v>
      </c>
      <c r="V171" s="160">
        <f t="shared" si="115"/>
        <v>5.1096490511814844E-4</v>
      </c>
      <c r="W171" s="98" t="str">
        <f t="shared" si="106"/>
        <v>1-0.0014477340238287i</v>
      </c>
      <c r="X171" s="160">
        <f t="shared" si="116"/>
        <v>1.0000010479663528</v>
      </c>
      <c r="Y171" s="160">
        <f t="shared" si="117"/>
        <v>-1.4477330123784122E-3</v>
      </c>
      <c r="Z171" s="98" t="str">
        <f t="shared" si="107"/>
        <v>0.99995407385514-0.00991236296470407i</v>
      </c>
      <c r="AA171" s="160">
        <f t="shared" si="118"/>
        <v>1.0000032023743899</v>
      </c>
      <c r="AB171" s="160">
        <f t="shared" si="119"/>
        <v>-9.9124935504303225E-3</v>
      </c>
      <c r="AC171" s="171" t="str">
        <f t="shared" si="120"/>
        <v>0.00335135610640954-0.355148391708792i</v>
      </c>
      <c r="AD171" s="190">
        <f t="shared" si="121"/>
        <v>-8.991416242931864</v>
      </c>
      <c r="AE171" s="169">
        <f t="shared" si="122"/>
        <v>-89.459344697195263</v>
      </c>
      <c r="AF171" s="98" t="str">
        <f t="shared" si="108"/>
        <v>-0.0000119284294234592</v>
      </c>
      <c r="AG171" s="98" t="str">
        <f t="shared" si="109"/>
        <v>0.0000119271993357252i</v>
      </c>
      <c r="AH171" s="98">
        <f t="shared" si="123"/>
        <v>1.1927199335725201E-5</v>
      </c>
      <c r="AI171" s="98">
        <f t="shared" si="124"/>
        <v>1.5707963267948966</v>
      </c>
      <c r="AJ171" s="98" t="str">
        <f t="shared" si="110"/>
        <v>1+0.010300413225753i</v>
      </c>
      <c r="AK171" s="98">
        <f t="shared" si="125"/>
        <v>1.0000530478492735</v>
      </c>
      <c r="AL171" s="98">
        <f t="shared" si="126"/>
        <v>1.0300048962767162E-2</v>
      </c>
      <c r="AM171" s="98" t="str">
        <f t="shared" si="111"/>
        <v>1+26.2295340787788i</v>
      </c>
      <c r="AN171" s="98">
        <f t="shared" si="127"/>
        <v>26.24858963810853</v>
      </c>
      <c r="AO171" s="98">
        <f t="shared" si="128"/>
        <v>1.5326898200286108</v>
      </c>
      <c r="AP171" s="168" t="str">
        <f t="shared" si="129"/>
        <v>-26.2191559200804+1.27017127339763i</v>
      </c>
      <c r="AQ171" s="98">
        <f t="shared" si="130"/>
        <v>28.382554466236588</v>
      </c>
      <c r="AR171" s="169">
        <f t="shared" si="131"/>
        <v>177.22650865596046</v>
      </c>
      <c r="AS171" s="168" t="str">
        <f t="shared" si="132"/>
        <v>0.363229556644211+9.31594785323189i</v>
      </c>
      <c r="AT171" s="190">
        <f t="shared" si="133"/>
        <v>19.391138223304718</v>
      </c>
      <c r="AU171" s="169">
        <f t="shared" si="134"/>
        <v>87.767163958765181</v>
      </c>
      <c r="AV171" s="225"/>
      <c r="AX171">
        <f t="shared" si="135"/>
        <v>0</v>
      </c>
      <c r="AY171">
        <f t="shared" si="136"/>
        <v>0</v>
      </c>
    </row>
    <row r="172" spans="14:51" x14ac:dyDescent="0.2">
      <c r="N172" s="170">
        <v>54</v>
      </c>
      <c r="O172" s="199">
        <f t="shared" si="102"/>
        <v>346.73685045253183</v>
      </c>
      <c r="P172" s="189" t="str">
        <f t="shared" si="103"/>
        <v>771.276595744681</v>
      </c>
      <c r="Q172" s="160" t="str">
        <f t="shared" si="104"/>
        <v>1+2222.18412190549i</v>
      </c>
      <c r="R172" s="160">
        <f t="shared" si="112"/>
        <v>2222.184346909336</v>
      </c>
      <c r="S172" s="160">
        <f t="shared" si="113"/>
        <v>1.5703463191098268</v>
      </c>
      <c r="T172" s="160" t="str">
        <f t="shared" si="105"/>
        <v>1+0.000522866852213056i</v>
      </c>
      <c r="U172" s="160">
        <f t="shared" si="114"/>
        <v>1.0000001366948632</v>
      </c>
      <c r="V172" s="160">
        <f t="shared" si="115"/>
        <v>5.22866804564252E-4</v>
      </c>
      <c r="W172" s="98" t="str">
        <f t="shared" si="106"/>
        <v>1-0.00148145608127033i</v>
      </c>
      <c r="X172" s="160">
        <f t="shared" si="116"/>
        <v>1.0000010973554583</v>
      </c>
      <c r="Y172" s="160">
        <f t="shared" si="117"/>
        <v>-1.4814549974818845E-3</v>
      </c>
      <c r="Z172" s="98" t="str">
        <f t="shared" si="107"/>
        <v>0.999951909422615-0.010143251558725i</v>
      </c>
      <c r="AA172" s="160">
        <f t="shared" si="118"/>
        <v>1.0000033533494361</v>
      </c>
      <c r="AB172" s="160">
        <f t="shared" si="119"/>
        <v>-1.0143391483615165E-2</v>
      </c>
      <c r="AC172" s="171" t="str">
        <f t="shared" si="120"/>
        <v>0.00334399506567352-0.347063538615833i</v>
      </c>
      <c r="AD172" s="190">
        <f t="shared" si="121"/>
        <v>-9.1914170304058036</v>
      </c>
      <c r="AE172" s="169">
        <f t="shared" si="122"/>
        <v>-89.447965994682207</v>
      </c>
      <c r="AF172" s="98" t="str">
        <f t="shared" si="108"/>
        <v>-0.0000119284294234592</v>
      </c>
      <c r="AG172" s="98" t="str">
        <f t="shared" si="109"/>
        <v>0.0000122050194977833i</v>
      </c>
      <c r="AH172" s="98">
        <f t="shared" si="123"/>
        <v>1.22050194977833E-5</v>
      </c>
      <c r="AI172" s="98">
        <f t="shared" si="124"/>
        <v>1.5707963267948966</v>
      </c>
      <c r="AJ172" s="98" t="str">
        <f t="shared" si="110"/>
        <v>1+0.010540340671509i</v>
      </c>
      <c r="AK172" s="98">
        <f t="shared" si="125"/>
        <v>1.000055547847954</v>
      </c>
      <c r="AL172" s="98">
        <f t="shared" si="126"/>
        <v>1.0539950357858393E-2</v>
      </c>
      <c r="AM172" s="98" t="str">
        <f t="shared" si="111"/>
        <v>1+26.8404984136036i</v>
      </c>
      <c r="AN172" s="98">
        <f t="shared" si="127"/>
        <v>26.859120519679294</v>
      </c>
      <c r="AO172" s="98">
        <f t="shared" si="128"/>
        <v>1.5335564189657647</v>
      </c>
      <c r="AP172" s="168" t="str">
        <f t="shared" si="129"/>
        <v>-26.2190248318155+1.25369546015477i</v>
      </c>
      <c r="AQ172" s="98">
        <f t="shared" si="130"/>
        <v>28.382249045337996</v>
      </c>
      <c r="AR172" s="169">
        <f t="shared" si="131"/>
        <v>177.26241578015188</v>
      </c>
      <c r="AS172" s="168" t="str">
        <f t="shared" si="132"/>
        <v>0.347435693083557+9.1038598886189i</v>
      </c>
      <c r="AT172" s="190">
        <f t="shared" si="133"/>
        <v>19.190832014932194</v>
      </c>
      <c r="AU172" s="169">
        <f t="shared" si="134"/>
        <v>87.814449785469691</v>
      </c>
      <c r="AV172" s="225"/>
      <c r="AX172">
        <f t="shared" si="135"/>
        <v>0</v>
      </c>
      <c r="AY172">
        <f t="shared" si="136"/>
        <v>0</v>
      </c>
    </row>
    <row r="173" spans="14:51" x14ac:dyDescent="0.2">
      <c r="N173" s="170">
        <v>55</v>
      </c>
      <c r="O173" s="199">
        <f t="shared" si="102"/>
        <v>354.81338923357566</v>
      </c>
      <c r="P173" s="189" t="str">
        <f t="shared" si="103"/>
        <v>771.276595744681</v>
      </c>
      <c r="Q173" s="160" t="str">
        <f t="shared" si="104"/>
        <v>1+2273.94543950345i</v>
      </c>
      <c r="R173" s="160">
        <f t="shared" si="112"/>
        <v>2273.9456593855839</v>
      </c>
      <c r="S173" s="160">
        <f t="shared" si="113"/>
        <v>1.5703565625339941</v>
      </c>
      <c r="T173" s="160" t="str">
        <f t="shared" si="105"/>
        <v>1+0.000535045985765517i</v>
      </c>
      <c r="U173" s="160">
        <f t="shared" si="114"/>
        <v>1.0000001431370931</v>
      </c>
      <c r="V173" s="160">
        <f t="shared" si="115"/>
        <v>5.3504593470890408E-4</v>
      </c>
      <c r="W173" s="98" t="str">
        <f t="shared" si="106"/>
        <v>1-0.00151596362633563i</v>
      </c>
      <c r="X173" s="160">
        <f t="shared" si="116"/>
        <v>1.0000011490721981</v>
      </c>
      <c r="Y173" s="160">
        <f t="shared" si="117"/>
        <v>-1.51596246503546E-3</v>
      </c>
      <c r="Z173" s="98" t="str">
        <f t="shared" si="107"/>
        <v>0.999949642983528-0.0103795182389841i</v>
      </c>
      <c r="AA173" s="160">
        <f t="shared" si="118"/>
        <v>1.0000035114447141</v>
      </c>
      <c r="AB173" s="160">
        <f t="shared" si="119"/>
        <v>-1.0379668170939835E-2</v>
      </c>
      <c r="AC173" s="171" t="str">
        <f t="shared" si="120"/>
        <v>0.00333696531515168-0.339162702903702i</v>
      </c>
      <c r="AD173" s="190">
        <f t="shared" si="121"/>
        <v>-9.3914178588544157</v>
      </c>
      <c r="AE173" s="169">
        <f t="shared" si="122"/>
        <v>-89.436294562170801</v>
      </c>
      <c r="AF173" s="98" t="str">
        <f t="shared" si="108"/>
        <v>-0.0000119284294234592</v>
      </c>
      <c r="AG173" s="98" t="str">
        <f t="shared" si="109"/>
        <v>0.0000124893109227316i</v>
      </c>
      <c r="AH173" s="98">
        <f t="shared" si="123"/>
        <v>1.2489310922731601E-5</v>
      </c>
      <c r="AI173" s="98">
        <f t="shared" si="124"/>
        <v>1.5707963267948966</v>
      </c>
      <c r="AJ173" s="98" t="str">
        <f t="shared" si="110"/>
        <v>1+0.010785856745407i</v>
      </c>
      <c r="AK173" s="98">
        <f t="shared" si="125"/>
        <v>1.0000581656612442</v>
      </c>
      <c r="AL173" s="98">
        <f t="shared" si="126"/>
        <v>1.0785438518109038E-2</v>
      </c>
      <c r="AM173" s="98" t="str">
        <f t="shared" si="111"/>
        <v>1+27.4656939359632i</v>
      </c>
      <c r="AN173" s="98">
        <f t="shared" si="127"/>
        <v>27.483892435097431</v>
      </c>
      <c r="AO173" s="98">
        <f t="shared" si="128"/>
        <v>1.5344033457793169</v>
      </c>
      <c r="AP173" s="168" t="str">
        <f t="shared" si="129"/>
        <v>-26.2188875669559+1.23788424258372i</v>
      </c>
      <c r="AQ173" s="98">
        <f t="shared" si="130"/>
        <v>28.381955352861141</v>
      </c>
      <c r="AR173" s="169">
        <f t="shared" si="131"/>
        <v>177.29687567662208</v>
      </c>
      <c r="AS173" s="168" t="str">
        <f t="shared" si="132"/>
        <v>0.332352647183803+8.8965995511187i</v>
      </c>
      <c r="AT173" s="190">
        <f t="shared" si="133"/>
        <v>18.990537494006713</v>
      </c>
      <c r="AU173" s="169">
        <f t="shared" si="134"/>
        <v>87.860581114451264</v>
      </c>
      <c r="AV173" s="225"/>
      <c r="AX173">
        <f t="shared" si="135"/>
        <v>0</v>
      </c>
      <c r="AY173">
        <f t="shared" si="136"/>
        <v>0</v>
      </c>
    </row>
    <row r="174" spans="14:51" x14ac:dyDescent="0.2">
      <c r="N174" s="170">
        <v>56</v>
      </c>
      <c r="O174" s="199">
        <f t="shared" si="102"/>
        <v>363.07805477010152</v>
      </c>
      <c r="P174" s="189" t="str">
        <f t="shared" si="103"/>
        <v>771.276595744681</v>
      </c>
      <c r="Q174" s="160" t="str">
        <f t="shared" si="104"/>
        <v>1+2326.91243307267i</v>
      </c>
      <c r="R174" s="160">
        <f t="shared" si="112"/>
        <v>2326.9126479496763</v>
      </c>
      <c r="S174" s="160">
        <f t="shared" si="113"/>
        <v>1.5703665727894498</v>
      </c>
      <c r="T174" s="160" t="str">
        <f t="shared" si="105"/>
        <v>1+0.000547508807781804i</v>
      </c>
      <c r="U174" s="160">
        <f t="shared" si="114"/>
        <v>1.0000001498829361</v>
      </c>
      <c r="V174" s="160">
        <f t="shared" si="115"/>
        <v>5.4750875307365795E-4</v>
      </c>
      <c r="W174" s="98" t="str">
        <f t="shared" si="106"/>
        <v>1-0.00155127495538178i</v>
      </c>
      <c r="X174" s="160">
        <f t="shared" si="116"/>
        <v>1.0000012032262697</v>
      </c>
      <c r="Y174" s="160">
        <f t="shared" si="117"/>
        <v>-1.5512737110263096E-3</v>
      </c>
      <c r="Z174" s="98" t="str">
        <f t="shared" si="107"/>
        <v>0.999947269730458-0.0106212882772027i</v>
      </c>
      <c r="AA174" s="160">
        <f t="shared" si="118"/>
        <v>1.0000036769962724</v>
      </c>
      <c r="AB174" s="160">
        <f t="shared" si="119"/>
        <v>-1.0621448931889993E-2</v>
      </c>
      <c r="AC174" s="171" t="str">
        <f t="shared" si="120"/>
        <v>0.00333025194381391-0.331441695464416i</v>
      </c>
      <c r="AD174" s="190">
        <f t="shared" si="121"/>
        <v>-9.5914187300410489</v>
      </c>
      <c r="AE174" s="169">
        <f t="shared" si="122"/>
        <v>-89.424324208861833</v>
      </c>
      <c r="AF174" s="98" t="str">
        <f t="shared" si="108"/>
        <v>-0.0000119284294234592</v>
      </c>
      <c r="AG174" s="98" t="str">
        <f t="shared" si="109"/>
        <v>0.0000127802243456467i</v>
      </c>
      <c r="AH174" s="98">
        <f t="shared" si="123"/>
        <v>1.2780224345646699E-5</v>
      </c>
      <c r="AI174" s="98">
        <f t="shared" si="124"/>
        <v>1.5707963267948966</v>
      </c>
      <c r="AJ174" s="98" t="str">
        <f t="shared" si="110"/>
        <v>1+0.0110370916233191i</v>
      </c>
      <c r="AK174" s="98">
        <f t="shared" si="125"/>
        <v>1.0000609068409292</v>
      </c>
      <c r="AL174" s="98">
        <f t="shared" si="126"/>
        <v>1.1036643486169411E-2</v>
      </c>
      <c r="AM174" s="98" t="str">
        <f t="shared" si="111"/>
        <v>1+28.1054521327993i</v>
      </c>
      <c r="AN174" s="98">
        <f t="shared" si="127"/>
        <v>28.123236648527364</v>
      </c>
      <c r="AO174" s="98">
        <f t="shared" si="128"/>
        <v>1.5352310446583965</v>
      </c>
      <c r="AP174" s="168" t="str">
        <f t="shared" si="129"/>
        <v>-26.2187438345435+1.22272922805398i</v>
      </c>
      <c r="AQ174" s="98">
        <f t="shared" si="130"/>
        <v>28.381672768197301</v>
      </c>
      <c r="AR174" s="169">
        <f t="shared" si="131"/>
        <v>177.32990634463846</v>
      </c>
      <c r="AS174" s="168" t="str">
        <f t="shared" si="132"/>
        <v>0.31794842582076+8.69405690585678i</v>
      </c>
      <c r="AT174" s="190">
        <f t="shared" si="133"/>
        <v>18.790254038156249</v>
      </c>
      <c r="AU174" s="169">
        <f t="shared" si="134"/>
        <v>87.90558213577664</v>
      </c>
      <c r="AV174" s="225"/>
      <c r="AX174">
        <f t="shared" si="135"/>
        <v>0</v>
      </c>
      <c r="AY174">
        <f t="shared" si="136"/>
        <v>0</v>
      </c>
    </row>
    <row r="175" spans="14:51" x14ac:dyDescent="0.2">
      <c r="N175" s="170">
        <v>57</v>
      </c>
      <c r="O175" s="199">
        <f t="shared" si="102"/>
        <v>371.53522909717265</v>
      </c>
      <c r="P175" s="189" t="str">
        <f t="shared" si="103"/>
        <v>771.276595744681</v>
      </c>
      <c r="Q175" s="160" t="str">
        <f t="shared" si="104"/>
        <v>1+2381.11318641422i</v>
      </c>
      <c r="R175" s="160">
        <f t="shared" si="112"/>
        <v>2381.1133964000283</v>
      </c>
      <c r="S175" s="160">
        <f t="shared" si="113"/>
        <v>1.5703763551837555</v>
      </c>
      <c r="T175" s="160" t="str">
        <f t="shared" si="105"/>
        <v>1+0.00056026192621511i</v>
      </c>
      <c r="U175" s="160">
        <f t="shared" si="114"/>
        <v>1.0000001569467007</v>
      </c>
      <c r="V175" s="160">
        <f t="shared" si="115"/>
        <v>5.6026186759427588E-4</v>
      </c>
      <c r="W175" s="98" t="str">
        <f t="shared" si="106"/>
        <v>1-0.00158740879094281i</v>
      </c>
      <c r="X175" s="160">
        <f t="shared" si="116"/>
        <v>1.000001259932541</v>
      </c>
      <c r="Y175" s="160">
        <f t="shared" si="117"/>
        <v>-1.5874074575919915E-3</v>
      </c>
      <c r="Z175" s="98" t="str">
        <f t="shared" si="107"/>
        <v>0.999944784629416-0.0108686898630553i</v>
      </c>
      <c r="AA175" s="160">
        <f t="shared" si="118"/>
        <v>1.0000038503560416</v>
      </c>
      <c r="AB175" s="160">
        <f t="shared" si="119"/>
        <v>-1.0868862007320139E-2</v>
      </c>
      <c r="AC175" s="171" t="str">
        <f t="shared" si="120"/>
        <v>0.00332384071171081-0.32389642253598i</v>
      </c>
      <c r="AD175" s="190">
        <f t="shared" si="121"/>
        <v>-9.7914196458202465</v>
      </c>
      <c r="AE175" s="169">
        <f t="shared" si="122"/>
        <v>-89.412048585289114</v>
      </c>
      <c r="AF175" s="98" t="str">
        <f t="shared" si="108"/>
        <v>-0.0000119284294234592</v>
      </c>
      <c r="AG175" s="98" t="str">
        <f t="shared" si="109"/>
        <v>0.0000130779140126762i</v>
      </c>
      <c r="AH175" s="98">
        <f t="shared" si="123"/>
        <v>1.3077914012676199E-5</v>
      </c>
      <c r="AI175" s="98">
        <f t="shared" si="124"/>
        <v>1.5707963267948966</v>
      </c>
      <c r="AJ175" s="98" t="str">
        <f t="shared" si="110"/>
        <v>1+0.0112941785133031i</v>
      </c>
      <c r="AK175" s="98">
        <f t="shared" si="125"/>
        <v>1.0000637772003795</v>
      </c>
      <c r="AL175" s="98">
        <f t="shared" si="126"/>
        <v>1.1293698327349716E-2</v>
      </c>
      <c r="AM175" s="98" t="str">
        <f t="shared" si="111"/>
        <v>1+28.7601122123757i</v>
      </c>
      <c r="AN175" s="98">
        <f t="shared" si="127"/>
        <v>28.777492150436629</v>
      </c>
      <c r="AO175" s="98">
        <f t="shared" si="128"/>
        <v>1.5360399499209587</v>
      </c>
      <c r="AP175" s="168" t="str">
        <f t="shared" si="129"/>
        <v>-26.2185933299199+1.20822237119681i</v>
      </c>
      <c r="AQ175" s="98">
        <f t="shared" si="130"/>
        <v>28.381400694095056</v>
      </c>
      <c r="AR175" s="169">
        <f t="shared" si="131"/>
        <v>177.36152504470618</v>
      </c>
      <c r="AS175" s="168" t="str">
        <f t="shared" si="132"/>
        <v>0.304192475744808+8.49612452219295i</v>
      </c>
      <c r="AT175" s="190">
        <f t="shared" si="133"/>
        <v>18.589981048274815</v>
      </c>
      <c r="AU175" s="169">
        <f t="shared" si="134"/>
        <v>87.949476459417085</v>
      </c>
      <c r="AV175" s="225"/>
      <c r="AX175">
        <f t="shared" si="135"/>
        <v>0</v>
      </c>
      <c r="AY175">
        <f t="shared" si="136"/>
        <v>0</v>
      </c>
    </row>
    <row r="176" spans="14:51" x14ac:dyDescent="0.2">
      <c r="N176" s="170">
        <v>58</v>
      </c>
      <c r="O176" s="199">
        <f t="shared" si="102"/>
        <v>380.18939632056163</v>
      </c>
      <c r="P176" s="189" t="str">
        <f t="shared" si="103"/>
        <v>771.276595744681</v>
      </c>
      <c r="Q176" s="160" t="str">
        <f t="shared" si="104"/>
        <v>1+2436.57643748497i</v>
      </c>
      <c r="R176" s="160">
        <f t="shared" si="112"/>
        <v>2436.5766426909186</v>
      </c>
      <c r="S176" s="160">
        <f t="shared" si="113"/>
        <v>1.5703859149036588</v>
      </c>
      <c r="T176" s="160" t="str">
        <f t="shared" si="105"/>
        <v>1+0.000573312102937639i</v>
      </c>
      <c r="U176" s="160">
        <f t="shared" si="114"/>
        <v>1.0000001643433702</v>
      </c>
      <c r="V176" s="160">
        <f t="shared" si="115"/>
        <v>5.7331204012428408E-4</v>
      </c>
      <c r="W176" s="98" t="str">
        <f t="shared" si="106"/>
        <v>1-0.00162438429165664i</v>
      </c>
      <c r="X176" s="160">
        <f t="shared" si="116"/>
        <v>1.0000013193112933</v>
      </c>
      <c r="Y176" s="160">
        <f t="shared" si="117"/>
        <v>-1.624382862945599E-3</v>
      </c>
      <c r="Z176" s="98" t="str">
        <f t="shared" si="107"/>
        <v>0.99994218240917-0.0111218541721373i</v>
      </c>
      <c r="AA176" s="160">
        <f t="shared" si="118"/>
        <v>1.000004031892592</v>
      </c>
      <c r="AB176" s="160">
        <f t="shared" si="119"/>
        <v>-1.112203862766553E-2</v>
      </c>
      <c r="AC176" s="171" t="str">
        <f t="shared" si="120"/>
        <v>0.00331771801976872-0.316522883531903i</v>
      </c>
      <c r="AD176" s="190">
        <f t="shared" si="121"/>
        <v>-9.9914206081418815</v>
      </c>
      <c r="AE176" s="169">
        <f t="shared" si="122"/>
        <v>-89.399461179940388</v>
      </c>
      <c r="AF176" s="98" t="str">
        <f t="shared" si="108"/>
        <v>-0.0000119284294234592</v>
      </c>
      <c r="AG176" s="98" t="str">
        <f t="shared" si="109"/>
        <v>0.0000133825377628218i</v>
      </c>
      <c r="AH176" s="98">
        <f t="shared" si="123"/>
        <v>1.33825377628218E-5</v>
      </c>
      <c r="AI176" s="98">
        <f t="shared" si="124"/>
        <v>1.5707963267948966</v>
      </c>
      <c r="AJ176" s="98" t="str">
        <f t="shared" si="110"/>
        <v>1+0.0115572537262309i</v>
      </c>
      <c r="AK176" s="98">
        <f t="shared" si="125"/>
        <v>1.0000667828268732</v>
      </c>
      <c r="AL176" s="98">
        <f t="shared" si="126"/>
        <v>1.1556739199567441E-2</v>
      </c>
      <c r="AM176" s="98" t="str">
        <f t="shared" si="111"/>
        <v>1+29.4300212841321i</v>
      </c>
      <c r="AN176" s="98">
        <f t="shared" si="127"/>
        <v>29.447005837342246</v>
      </c>
      <c r="AO176" s="98">
        <f t="shared" si="128"/>
        <v>1.536830486222549</v>
      </c>
      <c r="AP176" s="168" t="str">
        <f t="shared" si="129"/>
        <v>-26.2184357340839+1.19435596959183i</v>
      </c>
      <c r="AQ176" s="98">
        <f t="shared" si="130"/>
        <v>28.38113855541215</v>
      </c>
      <c r="AR176" s="169">
        <f t="shared" si="131"/>
        <v>177.39174830652166</v>
      </c>
      <c r="AS176" s="168" t="str">
        <f t="shared" si="132"/>
        <v>0.29105561877363+8.30269741657046i</v>
      </c>
      <c r="AT176" s="190">
        <f t="shared" si="133"/>
        <v>18.389717947270277</v>
      </c>
      <c r="AU176" s="169">
        <f t="shared" si="134"/>
        <v>87.992287126581289</v>
      </c>
      <c r="AV176" s="225"/>
      <c r="AX176">
        <f t="shared" si="135"/>
        <v>0</v>
      </c>
      <c r="AY176">
        <f t="shared" si="136"/>
        <v>0</v>
      </c>
    </row>
    <row r="177" spans="14:51" x14ac:dyDescent="0.2">
      <c r="N177" s="170">
        <v>59</v>
      </c>
      <c r="O177" s="199">
        <f t="shared" si="102"/>
        <v>389.04514499428063</v>
      </c>
      <c r="P177" s="189" t="str">
        <f t="shared" si="103"/>
        <v>771.276595744681</v>
      </c>
      <c r="Q177" s="160" t="str">
        <f t="shared" si="104"/>
        <v>1+2493.33159363477i</v>
      </c>
      <c r="R177" s="160">
        <f t="shared" si="112"/>
        <v>2493.331794169661</v>
      </c>
      <c r="S177" s="160">
        <f t="shared" si="113"/>
        <v>1.5703952570178425</v>
      </c>
      <c r="T177" s="160" t="str">
        <f t="shared" si="105"/>
        <v>1+0.000586666257325828i</v>
      </c>
      <c r="U177" s="160">
        <f t="shared" si="114"/>
        <v>1.000000172088634</v>
      </c>
      <c r="V177" s="160">
        <f t="shared" si="115"/>
        <v>5.8666619002010621E-4</v>
      </c>
      <c r="W177" s="98" t="str">
        <f t="shared" si="106"/>
        <v>1-0.00166222106242318i</v>
      </c>
      <c r="X177" s="160">
        <f t="shared" si="116"/>
        <v>1.0000013814884758</v>
      </c>
      <c r="Y177" s="160">
        <f t="shared" si="117"/>
        <v>-1.6622195315318324E-3</v>
      </c>
      <c r="Z177" s="98" t="str">
        <f t="shared" si="107"/>
        <v>0.999939457550063-0.0113809154355166i</v>
      </c>
      <c r="AA177" s="160">
        <f t="shared" si="118"/>
        <v>1.0000042219919196</v>
      </c>
      <c r="AB177" s="160">
        <f t="shared" si="119"/>
        <v>-1.1381113082755474E-2</v>
      </c>
      <c r="AC177" s="171" t="str">
        <f t="shared" si="120"/>
        <v>0.00331187088094472-0.309317168920119i</v>
      </c>
      <c r="AD177" s="190">
        <f t="shared" si="121"/>
        <v>-10.191421619055248</v>
      </c>
      <c r="AE177" s="169">
        <f t="shared" si="122"/>
        <v>-89.386555315791355</v>
      </c>
      <c r="AF177" s="98" t="str">
        <f t="shared" si="108"/>
        <v>-0.0000119284294234592</v>
      </c>
      <c r="AG177" s="98" t="str">
        <f t="shared" si="109"/>
        <v>0.0000136942571116281i</v>
      </c>
      <c r="AH177" s="98">
        <f t="shared" si="123"/>
        <v>1.36942571116281E-5</v>
      </c>
      <c r="AI177" s="98">
        <f t="shared" si="124"/>
        <v>1.5707963267948966</v>
      </c>
      <c r="AJ177" s="98" t="str">
        <f t="shared" si="110"/>
        <v>1+0.0118264567480627i</v>
      </c>
      <c r="AK177" s="98">
        <f t="shared" si="125"/>
        <v>1.0000699300944977</v>
      </c>
      <c r="AL177" s="98">
        <f t="shared" si="126"/>
        <v>1.1825905424891847E-2</v>
      </c>
      <c r="AM177" s="98" t="str">
        <f t="shared" si="111"/>
        <v>1+30.1155345427259i</v>
      </c>
      <c r="AN177" s="98">
        <f t="shared" si="127"/>
        <v>30.132132695747192</v>
      </c>
      <c r="AO177" s="98">
        <f t="shared" si="128"/>
        <v>1.53760306876137</v>
      </c>
      <c r="AP177" s="168" t="str">
        <f t="shared" si="129"/>
        <v>-26.2182707130156+1.18112265963208i</v>
      </c>
      <c r="AQ177" s="98">
        <f t="shared" si="130"/>
        <v>28.380885797911755</v>
      </c>
      <c r="AR177" s="169">
        <f t="shared" si="131"/>
        <v>177.42059193662303</v>
      </c>
      <c r="AS177" s="168" t="str">
        <f t="shared" si="132"/>
        <v>0.278509989901634+8.11367299667451i</v>
      </c>
      <c r="AT177" s="190">
        <f t="shared" si="133"/>
        <v>18.1894641788565</v>
      </c>
      <c r="AU177" s="169">
        <f t="shared" si="134"/>
        <v>88.034036620831685</v>
      </c>
      <c r="AV177" s="225"/>
      <c r="AX177">
        <f t="shared" si="135"/>
        <v>0</v>
      </c>
      <c r="AY177">
        <f t="shared" si="136"/>
        <v>0</v>
      </c>
    </row>
    <row r="178" spans="14:51" x14ac:dyDescent="0.2">
      <c r="N178" s="170">
        <v>60</v>
      </c>
      <c r="O178" s="199">
        <f t="shared" si="102"/>
        <v>398.10717055349761</v>
      </c>
      <c r="P178" s="189" t="str">
        <f t="shared" si="103"/>
        <v>771.276595744681</v>
      </c>
      <c r="Q178" s="160" t="str">
        <f t="shared" si="104"/>
        <v>1+2551.40874719866i</v>
      </c>
      <c r="R178" s="160">
        <f t="shared" si="112"/>
        <v>2551.4089431688203</v>
      </c>
      <c r="S178" s="160">
        <f t="shared" si="113"/>
        <v>1.5704043864796131</v>
      </c>
      <c r="T178" s="160" t="str">
        <f t="shared" si="105"/>
        <v>1+0.000600331469929096i</v>
      </c>
      <c r="U178" s="160">
        <f t="shared" si="114"/>
        <v>1.0000001801989207</v>
      </c>
      <c r="V178" s="160">
        <f t="shared" si="115"/>
        <v>6.0033139780971655E-4</v>
      </c>
      <c r="W178" s="98" t="str">
        <f t="shared" si="106"/>
        <v>1-0.0017009391647991i</v>
      </c>
      <c r="X178" s="160">
        <f t="shared" si="116"/>
        <v>1.0000014465959748</v>
      </c>
      <c r="Y178" s="160">
        <f t="shared" si="117"/>
        <v>-1.7009375244195948E-3</v>
      </c>
      <c r="Z178" s="98" t="str">
        <f t="shared" si="107"/>
        <v>0.999936604272302-0.011646011010904i</v>
      </c>
      <c r="AA178" s="160">
        <f t="shared" si="118"/>
        <v>1.0000044210582715</v>
      </c>
      <c r="AB178" s="160">
        <f t="shared" si="119"/>
        <v>-1.1646222793264185E-2</v>
      </c>
      <c r="AC178" s="171" t="str">
        <f t="shared" si="120"/>
        <v>0.0033062868926791-0.302275458150177i</v>
      </c>
      <c r="AD178" s="190">
        <f t="shared" si="121"/>
        <v>-10.391422680713498</v>
      </c>
      <c r="AE178" s="169">
        <f t="shared" si="122"/>
        <v>-89.373324146751116</v>
      </c>
      <c r="AF178" s="98" t="str">
        <f t="shared" si="108"/>
        <v>-0.0000119284294234592</v>
      </c>
      <c r="AG178" s="98" t="str">
        <f t="shared" si="109"/>
        <v>0.00001401323733682i</v>
      </c>
      <c r="AH178" s="98">
        <f t="shared" si="123"/>
        <v>1.401323733682E-5</v>
      </c>
      <c r="AI178" s="98">
        <f t="shared" si="124"/>
        <v>1.5707963267948966</v>
      </c>
      <c r="AJ178" s="98" t="str">
        <f t="shared" si="110"/>
        <v>1+0.012101930313804i</v>
      </c>
      <c r="AK178" s="98">
        <f t="shared" si="125"/>
        <v>1.0000732256776601</v>
      </c>
      <c r="AL178" s="98">
        <f t="shared" si="126"/>
        <v>1.2101339562719145E-2</v>
      </c>
      <c r="AM178" s="98" t="str">
        <f t="shared" si="111"/>
        <v>1+30.8170154563603i</v>
      </c>
      <c r="AN178" s="98">
        <f t="shared" si="127"/>
        <v>30.833235990365164</v>
      </c>
      <c r="AO178" s="98">
        <f t="shared" si="128"/>
        <v>1.5383581034796654</v>
      </c>
      <c r="AP178" s="168" t="str">
        <f t="shared" si="129"/>
        <v>-26.2180979169703+1.16851541256512i</v>
      </c>
      <c r="AQ178" s="98">
        <f t="shared" si="130"/>
        <v>28.380641887102058</v>
      </c>
      <c r="AR178" s="169">
        <f t="shared" si="131"/>
        <v>177.44807102573589</v>
      </c>
      <c r="AS178" s="168" t="str">
        <f t="shared" si="132"/>
        <v>0.266528978194809+7.92895100687086i</v>
      </c>
      <c r="AT178" s="190">
        <f t="shared" si="133"/>
        <v>17.989219206388562</v>
      </c>
      <c r="AU178" s="169">
        <f t="shared" si="134"/>
        <v>88.074746878984769</v>
      </c>
      <c r="AV178" s="225"/>
      <c r="AX178">
        <f t="shared" si="135"/>
        <v>0</v>
      </c>
      <c r="AY178">
        <f t="shared" si="136"/>
        <v>0</v>
      </c>
    </row>
    <row r="179" spans="14:51" x14ac:dyDescent="0.2">
      <c r="N179" s="170">
        <v>61</v>
      </c>
      <c r="O179" s="199">
        <f t="shared" si="102"/>
        <v>407.38027780411272</v>
      </c>
      <c r="P179" s="189" t="str">
        <f t="shared" si="103"/>
        <v>771.276595744681</v>
      </c>
      <c r="Q179" s="160" t="str">
        <f t="shared" si="104"/>
        <v>1+2610.83869145221i</v>
      </c>
      <c r="R179" s="160">
        <f t="shared" si="112"/>
        <v>2610.8388829615446</v>
      </c>
      <c r="S179" s="160">
        <f t="shared" si="113"/>
        <v>1.5704133081295257</v>
      </c>
      <c r="T179" s="160" t="str">
        <f t="shared" si="105"/>
        <v>1+0.000614314986224049i</v>
      </c>
      <c r="U179" s="160">
        <f t="shared" si="114"/>
        <v>1.0000001886914334</v>
      </c>
      <c r="V179" s="160">
        <f t="shared" si="115"/>
        <v>6.1431490894674234E-4</v>
      </c>
      <c r="W179" s="98" t="str">
        <f t="shared" si="106"/>
        <v>1-0.0017405591276348i</v>
      </c>
      <c r="X179" s="160">
        <f t="shared" si="116"/>
        <v>1.0000015147718913</v>
      </c>
      <c r="Y179" s="160">
        <f t="shared" si="117"/>
        <v>-1.740557369936636E-3</v>
      </c>
      <c r="Z179" s="98" t="str">
        <f t="shared" si="107"/>
        <v>0.999933616523702-0.0119172814554825i</v>
      </c>
      <c r="AA179" s="160">
        <f t="shared" si="118"/>
        <v>1.0000046295150133</v>
      </c>
      <c r="AB179" s="160">
        <f t="shared" si="119"/>
        <v>-1.1917508383840484E-2</v>
      </c>
      <c r="AC179" s="171" t="str">
        <f t="shared" si="120"/>
        <v>0.00330095421058812-0.295394017627609i</v>
      </c>
      <c r="AD179" s="190">
        <f t="shared" si="121"/>
        <v>-10.591423795378168</v>
      </c>
      <c r="AE179" s="169">
        <f t="shared" si="122"/>
        <v>-89.359760654016824</v>
      </c>
      <c r="AF179" s="98" t="str">
        <f t="shared" si="108"/>
        <v>-0.0000119284294234592</v>
      </c>
      <c r="AG179" s="98" t="str">
        <f t="shared" si="109"/>
        <v>0.0000143396475659349i</v>
      </c>
      <c r="AH179" s="98">
        <f t="shared" si="123"/>
        <v>1.43396475659349E-5</v>
      </c>
      <c r="AI179" s="98">
        <f t="shared" si="124"/>
        <v>1.5707963267948966</v>
      </c>
      <c r="AJ179" s="98" t="str">
        <f t="shared" si="110"/>
        <v>1+0.0123838204831856i</v>
      </c>
      <c r="AK179" s="98">
        <f t="shared" si="125"/>
        <v>1.000076676565232</v>
      </c>
      <c r="AL179" s="98">
        <f t="shared" si="126"/>
        <v>1.2383187484614751E-2</v>
      </c>
      <c r="AM179" s="98" t="str">
        <f t="shared" si="111"/>
        <v>1+31.5348359595012i</v>
      </c>
      <c r="AN179" s="98">
        <f t="shared" si="127"/>
        <v>31.550687456736188</v>
      </c>
      <c r="AO179" s="98">
        <f t="shared" si="128"/>
        <v>1.5390959872614427</v>
      </c>
      <c r="AP179" s="168" t="str">
        <f t="shared" si="129"/>
        <v>-26.2179169797396+1.15652753070781i</v>
      </c>
      <c r="AQ179" s="98">
        <f t="shared" si="130"/>
        <v>28.380406307116608</v>
      </c>
      <c r="AR179" s="169">
        <f t="shared" si="131"/>
        <v>177.47419995581373</v>
      </c>
      <c r="AS179" s="168" t="str">
        <f t="shared" si="132"/>
        <v>0.255087170345597+7.74843347489454i</v>
      </c>
      <c r="AT179" s="190">
        <f t="shared" si="133"/>
        <v>17.788982511738443</v>
      </c>
      <c r="AU179" s="169">
        <f t="shared" si="134"/>
        <v>88.114439301796907</v>
      </c>
      <c r="AV179" s="225"/>
      <c r="AX179">
        <f t="shared" si="135"/>
        <v>0</v>
      </c>
      <c r="AY179">
        <f t="shared" si="136"/>
        <v>0</v>
      </c>
    </row>
    <row r="180" spans="14:51" x14ac:dyDescent="0.2">
      <c r="N180" s="170">
        <v>62</v>
      </c>
      <c r="O180" s="199">
        <f t="shared" si="102"/>
        <v>416.86938347033572</v>
      </c>
      <c r="P180" s="189" t="str">
        <f t="shared" si="103"/>
        <v>771.276595744681</v>
      </c>
      <c r="Q180" s="160" t="str">
        <f t="shared" si="104"/>
        <v>1+2671.65293693851i</v>
      </c>
      <c r="R180" s="160">
        <f t="shared" si="112"/>
        <v>2671.6531240885606</v>
      </c>
      <c r="S180" s="160">
        <f t="shared" si="113"/>
        <v>1.5704220266979514</v>
      </c>
      <c r="T180" s="160" t="str">
        <f t="shared" si="105"/>
        <v>1+0.000628624220456119i</v>
      </c>
      <c r="U180" s="160">
        <f t="shared" si="114"/>
        <v>1.0000001975841857</v>
      </c>
      <c r="V180" s="160">
        <f t="shared" si="115"/>
        <v>6.2862413765199401E-4</v>
      </c>
      <c r="W180" s="98" t="str">
        <f t="shared" si="106"/>
        <v>1-0.001781101957959i</v>
      </c>
      <c r="X180" s="160">
        <f t="shared" si="116"/>
        <v>1.0000015861608345</v>
      </c>
      <c r="Y180" s="160">
        <f t="shared" si="117"/>
        <v>-1.7811000745516462E-3</v>
      </c>
      <c r="Z180" s="98" t="str">
        <f t="shared" si="107"/>
        <v>0.99993048796685-0.0121948706004327i</v>
      </c>
      <c r="AA180" s="160">
        <f t="shared" si="118"/>
        <v>1.0000048478055414</v>
      </c>
      <c r="AB180" s="160">
        <f t="shared" si="119"/>
        <v>-1.2195113757955097E-2</v>
      </c>
      <c r="AC180" s="171" t="str">
        <f t="shared" si="120"/>
        <v>0.00329586152334047-0.288669198734384i</v>
      </c>
      <c r="AD180" s="190">
        <f t="shared" si="121"/>
        <v>-10.791424965424374</v>
      </c>
      <c r="AE180" s="169">
        <f t="shared" si="122"/>
        <v>-89.345857642335702</v>
      </c>
      <c r="AF180" s="98" t="str">
        <f t="shared" si="108"/>
        <v>-0.0000119284294234592</v>
      </c>
      <c r="AG180" s="98" t="str">
        <f t="shared" si="109"/>
        <v>0.0000146736608659969i</v>
      </c>
      <c r="AH180" s="98">
        <f t="shared" si="123"/>
        <v>1.4673660865996901E-5</v>
      </c>
      <c r="AI180" s="98">
        <f t="shared" si="124"/>
        <v>1.5707963267948966</v>
      </c>
      <c r="AJ180" s="98" t="str">
        <f t="shared" si="110"/>
        <v>1+0.0126722767181067i</v>
      </c>
      <c r="AK180" s="98">
        <f t="shared" si="125"/>
        <v>1.000080290075362</v>
      </c>
      <c r="AL180" s="98">
        <f t="shared" si="126"/>
        <v>1.2671598450858815E-2</v>
      </c>
      <c r="AM180" s="98" t="str">
        <f t="shared" si="111"/>
        <v>1+32.2693766500808i</v>
      </c>
      <c r="AN180" s="98">
        <f t="shared" si="127"/>
        <v>32.284867498330854</v>
      </c>
      <c r="AO180" s="98">
        <f t="shared" si="128"/>
        <v>1.5398171081265535</v>
      </c>
      <c r="AP180" s="168" t="str">
        <f t="shared" si="129"/>
        <v>-26.2177275178768+1.14515264383233i</v>
      </c>
      <c r="AQ180" s="98">
        <f t="shared" si="130"/>
        <v>28.380178559632633</v>
      </c>
      <c r="AR180" s="169">
        <f t="shared" si="131"/>
        <v>177.49899240677232</v>
      </c>
      <c r="AS180" s="168" t="str">
        <f t="shared" si="132"/>
        <v>0.244160296768045+7.57202465975907i</v>
      </c>
      <c r="AT180" s="190">
        <f t="shared" si="133"/>
        <v>17.588753594208267</v>
      </c>
      <c r="AU180" s="169">
        <f t="shared" si="134"/>
        <v>88.153134764436643</v>
      </c>
      <c r="AV180" s="225"/>
      <c r="AX180">
        <f t="shared" si="135"/>
        <v>0</v>
      </c>
      <c r="AY180">
        <f t="shared" si="136"/>
        <v>0</v>
      </c>
    </row>
    <row r="181" spans="14:51" x14ac:dyDescent="0.2">
      <c r="N181" s="170">
        <v>63</v>
      </c>
      <c r="O181" s="199">
        <f t="shared" si="102"/>
        <v>426.57951880159294</v>
      </c>
      <c r="P181" s="189" t="str">
        <f t="shared" si="103"/>
        <v>771.276595744681</v>
      </c>
      <c r="Q181" s="160" t="str">
        <f t="shared" si="104"/>
        <v>1+2733.88372817547i</v>
      </c>
      <c r="R181" s="160">
        <f t="shared" si="112"/>
        <v>2733.8839110654658</v>
      </c>
      <c r="S181" s="160">
        <f t="shared" si="113"/>
        <v>1.5704305468075856</v>
      </c>
      <c r="T181" s="160" t="str">
        <f t="shared" si="105"/>
        <v>1+0.000643266759570698i</v>
      </c>
      <c r="U181" s="160">
        <f t="shared" si="114"/>
        <v>1.0000002068960405</v>
      </c>
      <c r="V181" s="160">
        <f t="shared" si="115"/>
        <v>6.4326667084448042E-4</v>
      </c>
      <c r="W181" s="98" t="str">
        <f t="shared" si="106"/>
        <v>1-0.00182258915211698i</v>
      </c>
      <c r="X181" s="160">
        <f t="shared" si="116"/>
        <v>1.0000016609142295</v>
      </c>
      <c r="Y181" s="160">
        <f t="shared" si="117"/>
        <v>-1.8225871340098215E-3</v>
      </c>
      <c r="Z181" s="98" t="str">
        <f t="shared" si="107"/>
        <v>0.999927211965656-0.0124789256271934i</v>
      </c>
      <c r="AA181" s="160">
        <f t="shared" si="118"/>
        <v>1.0000050763942248</v>
      </c>
      <c r="AB181" s="160">
        <f t="shared" si="119"/>
        <v>-1.2479186174506282E-2</v>
      </c>
      <c r="AC181" s="171" t="str">
        <f t="shared" si="120"/>
        <v>0.00329099802866438-0.282097435894441i</v>
      </c>
      <c r="AD181" s="190">
        <f t="shared" si="121"/>
        <v>-10.991426193345431</v>
      </c>
      <c r="AE181" s="169">
        <f t="shared" si="122"/>
        <v>-89.331607736172302</v>
      </c>
      <c r="AF181" s="98" t="str">
        <f t="shared" si="108"/>
        <v>-0.0000119284294234592</v>
      </c>
      <c r="AG181" s="98" t="str">
        <f t="shared" si="109"/>
        <v>0.000015015454335279i</v>
      </c>
      <c r="AH181" s="98">
        <f t="shared" si="123"/>
        <v>1.5015454335279E-5</v>
      </c>
      <c r="AI181" s="98">
        <f t="shared" si="124"/>
        <v>1.5707963267948966</v>
      </c>
      <c r="AJ181" s="98" t="str">
        <f t="shared" si="110"/>
        <v>1+0.0129674519618812i</v>
      </c>
      <c r="AK181" s="98">
        <f t="shared" si="125"/>
        <v>1.000084073870984</v>
      </c>
      <c r="AL181" s="98">
        <f t="shared" si="126"/>
        <v>1.296672518873076E-2</v>
      </c>
      <c r="AM181" s="98" t="str">
        <f t="shared" si="111"/>
        <v>1+33.0210269912958i</v>
      </c>
      <c r="AN181" s="98">
        <f t="shared" si="127"/>
        <v>33.036165388251185</v>
      </c>
      <c r="AO181" s="98">
        <f t="shared" si="128"/>
        <v>1.540521845421158</v>
      </c>
      <c r="AP181" s="168" t="str">
        <f t="shared" si="129"/>
        <v>-26.2175291298861+1.13438470572147i</v>
      </c>
      <c r="AQ181" s="98">
        <f t="shared" si="130"/>
        <v>28.379958162825488</v>
      </c>
      <c r="AR181" s="169">
        <f t="shared" si="131"/>
        <v>177.52246136291711</v>
      </c>
      <c r="AS181" s="168" t="str">
        <f t="shared" si="132"/>
        <v>0.233725180118991+7.39963100085896i</v>
      </c>
      <c r="AT181" s="190">
        <f t="shared" si="133"/>
        <v>17.388531969480063</v>
      </c>
      <c r="AU181" s="169">
        <f t="shared" si="134"/>
        <v>88.190853626744797</v>
      </c>
      <c r="AV181" s="225"/>
      <c r="AX181">
        <f t="shared" si="135"/>
        <v>0</v>
      </c>
      <c r="AY181">
        <f t="shared" si="136"/>
        <v>0</v>
      </c>
    </row>
    <row r="182" spans="14:51" x14ac:dyDescent="0.2">
      <c r="N182" s="170">
        <v>64</v>
      </c>
      <c r="O182" s="199">
        <f t="shared" si="102"/>
        <v>436.51583224016622</v>
      </c>
      <c r="P182" s="189" t="str">
        <f t="shared" si="103"/>
        <v>771.276595744681</v>
      </c>
      <c r="Q182" s="160" t="str">
        <f t="shared" si="104"/>
        <v>1+2797.56406075233i</v>
      </c>
      <c r="R182" s="160">
        <f t="shared" si="112"/>
        <v>2797.5642394792417</v>
      </c>
      <c r="S182" s="160">
        <f t="shared" si="113"/>
        <v>1.570438872975898</v>
      </c>
      <c r="T182" s="160" t="str">
        <f t="shared" si="105"/>
        <v>1+0.000658250367235843i</v>
      </c>
      <c r="U182" s="160">
        <f t="shared" si="114"/>
        <v>1.0000002166467494</v>
      </c>
      <c r="V182" s="160">
        <f t="shared" si="115"/>
        <v>6.5825027216398913E-4</v>
      </c>
      <c r="W182" s="98" t="str">
        <f t="shared" si="106"/>
        <v>1-0.00186504270716822i</v>
      </c>
      <c r="X182" s="160">
        <f t="shared" si="116"/>
        <v>1.0000017391906373</v>
      </c>
      <c r="Y182" s="160">
        <f t="shared" si="117"/>
        <v>-1.8650405447276429E-3</v>
      </c>
      <c r="Z182" s="98" t="str">
        <f t="shared" si="107"/>
        <v>0.999923781571281-0.0127695971454997i</v>
      </c>
      <c r="AA182" s="160">
        <f t="shared" si="118"/>
        <v>1.0000053157674058</v>
      </c>
      <c r="AB182" s="160">
        <f t="shared" si="119"/>
        <v>-1.2769876326227484E-2</v>
      </c>
      <c r="AC182" s="171" t="str">
        <f t="shared" si="120"/>
        <v>0.00328635341043463-0.275675244683211i</v>
      </c>
      <c r="AD182" s="190">
        <f t="shared" si="121"/>
        <v>-11.191427481758796</v>
      </c>
      <c r="AE182" s="169">
        <f t="shared" si="122"/>
        <v>-89.317003375779038</v>
      </c>
      <c r="AF182" s="98" t="str">
        <f t="shared" si="108"/>
        <v>-0.0000119284294234592</v>
      </c>
      <c r="AG182" s="98" t="str">
        <f t="shared" si="109"/>
        <v>0.0000153652091972027i</v>
      </c>
      <c r="AH182" s="98">
        <f t="shared" si="123"/>
        <v>1.5365209197202698E-5</v>
      </c>
      <c r="AI182" s="98">
        <f t="shared" si="124"/>
        <v>1.5707963267948966</v>
      </c>
      <c r="AJ182" s="98" t="str">
        <f t="shared" si="110"/>
        <v>1+0.0132695027203303i</v>
      </c>
      <c r="AK182" s="98">
        <f t="shared" si="125"/>
        <v>1.0000880359760558</v>
      </c>
      <c r="AL182" s="98">
        <f t="shared" si="126"/>
        <v>1.3268723972571454E-2</v>
      </c>
      <c r="AM182" s="98" t="str">
        <f t="shared" si="111"/>
        <v>1+33.7901855181066i</v>
      </c>
      <c r="AN182" s="98">
        <f t="shared" si="127"/>
        <v>33.804979475634369</v>
      </c>
      <c r="AO182" s="98">
        <f t="shared" si="128"/>
        <v>1.5412105700046088</v>
      </c>
      <c r="AP182" s="168" t="str">
        <f t="shared" si="129"/>
        <v>-26.2173213953753+1.12421799089078i</v>
      </c>
      <c r="AQ182" s="98">
        <f t="shared" si="130"/>
        <v>28.379744650357704</v>
      </c>
      <c r="AR182" s="169">
        <f t="shared" si="131"/>
        <v>177.54461911906358</v>
      </c>
      <c r="AS182" s="168" t="str">
        <f t="shared" si="132"/>
        <v>0.223759686135931+7.2311610682369i</v>
      </c>
      <c r="AT182" s="190">
        <f t="shared" si="133"/>
        <v>17.188317168598903</v>
      </c>
      <c r="AU182" s="169">
        <f t="shared" si="134"/>
        <v>88.227615743284559</v>
      </c>
      <c r="AV182" s="225"/>
      <c r="AX182">
        <f t="shared" si="135"/>
        <v>0</v>
      </c>
      <c r="AY182">
        <f t="shared" si="136"/>
        <v>0</v>
      </c>
    </row>
    <row r="183" spans="14:51" x14ac:dyDescent="0.2">
      <c r="N183" s="170">
        <v>65</v>
      </c>
      <c r="O183" s="199">
        <f t="shared" si="102"/>
        <v>446.68359215096331</v>
      </c>
      <c r="P183" s="189" t="str">
        <f t="shared" si="103"/>
        <v>771.276595744681</v>
      </c>
      <c r="Q183" s="160" t="str">
        <f t="shared" si="104"/>
        <v>1+2862.72769882435i</v>
      </c>
      <c r="R183" s="160">
        <f t="shared" si="112"/>
        <v>2862.7278734829406</v>
      </c>
      <c r="S183" s="160">
        <f t="shared" si="113"/>
        <v>1.5704470096175289</v>
      </c>
      <c r="T183" s="160" t="str">
        <f t="shared" si="105"/>
        <v>1+0.000673582987958671i</v>
      </c>
      <c r="U183" s="160">
        <f t="shared" si="114"/>
        <v>1.0000002268569952</v>
      </c>
      <c r="V183" s="160">
        <f t="shared" si="115"/>
        <v>6.7358288608734547E-4</v>
      </c>
      <c r="W183" s="98" t="str">
        <f t="shared" si="106"/>
        <v>1-0.00190848513254957i</v>
      </c>
      <c r="X183" s="160">
        <f t="shared" si="116"/>
        <v>1.0000018211560924</v>
      </c>
      <c r="Y183" s="160">
        <f t="shared" si="117"/>
        <v>-1.9084828154529731E-3</v>
      </c>
      <c r="Z183" s="98" t="str">
        <f t="shared" si="107"/>
        <v>0.999920189507401-0.0130670392732381i</v>
      </c>
      <c r="AA183" s="160">
        <f t="shared" si="118"/>
        <v>1.00000556643445</v>
      </c>
      <c r="AB183" s="160">
        <f t="shared" si="119"/>
        <v>-1.3067338419938396E-2</v>
      </c>
      <c r="AC183" s="171" t="str">
        <f t="shared" si="120"/>
        <v>0.00328191781679057-0.269399219980193i</v>
      </c>
      <c r="AD183" s="190">
        <f t="shared" si="121"/>
        <v>-11.391428833411419</v>
      </c>
      <c r="AE183" s="169">
        <f t="shared" si="122"/>
        <v>-89.302036813167447</v>
      </c>
      <c r="AF183" s="98" t="str">
        <f t="shared" si="108"/>
        <v>-0.0000119284294234592</v>
      </c>
      <c r="AG183" s="98" t="str">
        <f t="shared" si="109"/>
        <v>0.0000157231108964253i</v>
      </c>
      <c r="AH183" s="98">
        <f t="shared" si="123"/>
        <v>1.5723110896425301E-5</v>
      </c>
      <c r="AI183" s="98">
        <f t="shared" si="124"/>
        <v>1.5707963267948966</v>
      </c>
      <c r="AJ183" s="98" t="str">
        <f t="shared" si="110"/>
        <v>1+0.0135785891447644i</v>
      </c>
      <c r="AK183" s="98">
        <f t="shared" si="125"/>
        <v>1.0000921847925632</v>
      </c>
      <c r="AL183" s="98">
        <f t="shared" si="126"/>
        <v>1.3577754705660972E-2</v>
      </c>
      <c r="AM183" s="98" t="str">
        <f t="shared" si="111"/>
        <v>1+34.5772600485451i</v>
      </c>
      <c r="AN183" s="98">
        <f t="shared" si="127"/>
        <v>34.591717396867033</v>
      </c>
      <c r="AO183" s="98">
        <f t="shared" si="128"/>
        <v>1.541883644432775</v>
      </c>
      <c r="AP183" s="168" t="str">
        <f t="shared" si="129"/>
        <v>-26.2171038741672+1.11464709147583i</v>
      </c>
      <c r="AQ183" s="98">
        <f t="shared" si="130"/>
        <v>28.379537570399407</v>
      </c>
      <c r="AR183" s="169">
        <f t="shared" si="131"/>
        <v>177.56547728634985</v>
      </c>
      <c r="AS183" s="168" t="str">
        <f t="shared" si="132"/>
        <v>0.214242676687501+7.06652551398929i</v>
      </c>
      <c r="AT183" s="190">
        <f t="shared" si="133"/>
        <v>16.988108736987989</v>
      </c>
      <c r="AU183" s="169">
        <f t="shared" si="134"/>
        <v>88.263440473182399</v>
      </c>
      <c r="AV183" s="225"/>
      <c r="AX183">
        <f t="shared" si="135"/>
        <v>0</v>
      </c>
      <c r="AY183">
        <f t="shared" si="136"/>
        <v>0</v>
      </c>
    </row>
    <row r="184" spans="14:51" x14ac:dyDescent="0.2">
      <c r="N184" s="170">
        <v>66</v>
      </c>
      <c r="O184" s="199">
        <f t="shared" ref="O184:O218" si="137">10^(2+(N184/100))</f>
        <v>457.0881896148756</v>
      </c>
      <c r="P184" s="189" t="str">
        <f t="shared" si="103"/>
        <v>771.276595744681</v>
      </c>
      <c r="Q184" s="160" t="str">
        <f t="shared" si="104"/>
        <v>1+2929.40919301497i</v>
      </c>
      <c r="R184" s="160">
        <f t="shared" si="112"/>
        <v>2929.4093636978459</v>
      </c>
      <c r="S184" s="160">
        <f t="shared" si="113"/>
        <v>1.5704549610466287</v>
      </c>
      <c r="T184" s="160" t="str">
        <f t="shared" si="105"/>
        <v>1+0.00068927275129764i</v>
      </c>
      <c r="U184" s="160">
        <f t="shared" si="114"/>
        <v>1.0000002375484345</v>
      </c>
      <c r="V184" s="160">
        <f t="shared" si="115"/>
        <v>6.8927264214054939E-4</v>
      </c>
      <c r="W184" s="98" t="str">
        <f t="shared" si="106"/>
        <v>1-0.00195293946200998i</v>
      </c>
      <c r="X184" s="160">
        <f t="shared" si="116"/>
        <v>1.0000019069844528</v>
      </c>
      <c r="Y184" s="160">
        <f t="shared" si="117"/>
        <v>-1.9529369791965001E-3</v>
      </c>
      <c r="Z184" s="98" t="str">
        <f t="shared" si="107"/>
        <v>0.999916428154766-0.013371409718162i</v>
      </c>
      <c r="AA184" s="160">
        <f t="shared" si="118"/>
        <v>1.0000058289288301</v>
      </c>
      <c r="AB184" s="160">
        <f t="shared" si="119"/>
        <v>-1.3371730258684893E-2</v>
      </c>
      <c r="AC184" s="171" t="str">
        <f t="shared" si="120"/>
        <v>0.0032776818392392-0.263266034163564i</v>
      </c>
      <c r="AD184" s="190">
        <f t="shared" si="121"/>
        <v>-11.59143025118566</v>
      </c>
      <c r="AE184" s="169">
        <f t="shared" si="122"/>
        <v>-89.286700107978405</v>
      </c>
      <c r="AF184" s="98" t="str">
        <f t="shared" si="108"/>
        <v>-0.0000119284294234592</v>
      </c>
      <c r="AG184" s="98" t="str">
        <f t="shared" si="109"/>
        <v>0.0000160893491971652i</v>
      </c>
      <c r="AH184" s="98">
        <f t="shared" si="123"/>
        <v>1.60893491971652E-5</v>
      </c>
      <c r="AI184" s="98">
        <f t="shared" si="124"/>
        <v>1.5707963267948966</v>
      </c>
      <c r="AJ184" s="98" t="str">
        <f t="shared" si="110"/>
        <v>1+0.0138948751168969i</v>
      </c>
      <c r="AK184" s="98">
        <f t="shared" si="125"/>
        <v>1.0000965291183217</v>
      </c>
      <c r="AL184" s="98">
        <f t="shared" si="126"/>
        <v>1.3893981003949434E-2</v>
      </c>
      <c r="AM184" s="98" t="str">
        <f t="shared" si="111"/>
        <v>1+35.3826678999455i</v>
      </c>
      <c r="AN184" s="98">
        <f t="shared" si="127"/>
        <v>35.396796291724392</v>
      </c>
      <c r="AO184" s="98">
        <f t="shared" si="128"/>
        <v>1.5425414231378534</v>
      </c>
      <c r="AP184" s="168" t="str">
        <f t="shared" si="129"/>
        <v>-26.2168761053689+1.10566691428214i</v>
      </c>
      <c r="AQ184" s="98">
        <f t="shared" si="130"/>
        <v>28.379336484678635</v>
      </c>
      <c r="AR184" s="169">
        <f t="shared" si="131"/>
        <v>177.5850467977414</v>
      </c>
      <c r="AS184" s="168" t="str">
        <f t="shared" si="132"/>
        <v>0.205153964936772+6.90563702478316i</v>
      </c>
      <c r="AT184" s="190">
        <f t="shared" si="133"/>
        <v>16.787906233492972</v>
      </c>
      <c r="AU184" s="169">
        <f t="shared" si="134"/>
        <v>88.298346689763022</v>
      </c>
      <c r="AV184" s="225"/>
      <c r="AX184">
        <f t="shared" si="135"/>
        <v>0</v>
      </c>
      <c r="AY184">
        <f t="shared" si="136"/>
        <v>0</v>
      </c>
    </row>
    <row r="185" spans="14:51" x14ac:dyDescent="0.2">
      <c r="N185" s="170">
        <v>67</v>
      </c>
      <c r="O185" s="199">
        <f t="shared" si="137"/>
        <v>467.7351412871983</v>
      </c>
      <c r="P185" s="189" t="str">
        <f t="shared" si="103"/>
        <v>771.276595744681</v>
      </c>
      <c r="Q185" s="160" t="str">
        <f t="shared" si="104"/>
        <v>1+2997.64389873504i</v>
      </c>
      <c r="R185" s="160">
        <f t="shared" si="112"/>
        <v>2997.6440655326996</v>
      </c>
      <c r="S185" s="160">
        <f t="shared" si="113"/>
        <v>1.5704627314791466</v>
      </c>
      <c r="T185" s="160" t="str">
        <f t="shared" si="105"/>
        <v>1+0.000705327976172949i</v>
      </c>
      <c r="U185" s="160">
        <f t="shared" si="114"/>
        <v>1.000000248743746</v>
      </c>
      <c r="V185" s="160">
        <f t="shared" si="115"/>
        <v>7.0532785920902061E-4</v>
      </c>
      <c r="W185" s="98" t="str">
        <f t="shared" si="106"/>
        <v>1-0.00199842926582335i</v>
      </c>
      <c r="X185" s="160">
        <f t="shared" si="116"/>
        <v>1.0000019968577716</v>
      </c>
      <c r="Y185" s="160">
        <f t="shared" si="117"/>
        <v>-1.9984266054410616E-3</v>
      </c>
      <c r="Z185" s="98" t="str">
        <f t="shared" si="107"/>
        <v>0.999912489535042-0.0136828698615099i</v>
      </c>
      <c r="AA185" s="160">
        <f t="shared" si="118"/>
        <v>1.000006103809278</v>
      </c>
      <c r="AB185" s="160">
        <f t="shared" si="119"/>
        <v>-1.3683213325811834E-2</v>
      </c>
      <c r="AC185" s="171" t="str">
        <f t="shared" si="120"/>
        <v>0.00327363649269815-0.257272435345872i</v>
      </c>
      <c r="AD185" s="190">
        <f t="shared" si="121"/>
        <v>-11.791431738105597</v>
      </c>
      <c r="AE185" s="169">
        <f t="shared" si="122"/>
        <v>-89.270985123248749</v>
      </c>
      <c r="AF185" s="98" t="str">
        <f t="shared" si="108"/>
        <v>-0.0000119284294234592</v>
      </c>
      <c r="AG185" s="98" t="str">
        <f t="shared" si="109"/>
        <v>0.0000164641182838171i</v>
      </c>
      <c r="AH185" s="98">
        <f t="shared" si="123"/>
        <v>1.6464118283817101E-5</v>
      </c>
      <c r="AI185" s="98">
        <f t="shared" si="124"/>
        <v>1.5707963267948966</v>
      </c>
      <c r="AJ185" s="98" t="str">
        <f t="shared" si="110"/>
        <v>1+0.0142185283357369i</v>
      </c>
      <c r="AK185" s="98">
        <f t="shared" si="125"/>
        <v>1.0001010781656192</v>
      </c>
      <c r="AL185" s="98">
        <f t="shared" si="126"/>
        <v>1.4217570281682183E-2</v>
      </c>
      <c r="AM185" s="98" t="str">
        <f t="shared" si="111"/>
        <v>1+36.2068361102114i</v>
      </c>
      <c r="AN185" s="98">
        <f t="shared" si="127"/>
        <v>36.220643024547591</v>
      </c>
      <c r="AO185" s="98">
        <f t="shared" si="128"/>
        <v>1.5431842526046926</v>
      </c>
      <c r="AP185" s="168" t="str">
        <f t="shared" si="129"/>
        <v>-26.2166376063996+1.09727267799621i</v>
      </c>
      <c r="AQ185" s="98">
        <f t="shared" si="130"/>
        <v>28.379140967560296</v>
      </c>
      <c r="AR185" s="169">
        <f t="shared" si="131"/>
        <v>177.60333791322816</v>
      </c>
      <c r="AS185" s="168" t="str">
        <f t="shared" si="132"/>
        <v>0.196474272522419+6.74841027545973i</v>
      </c>
      <c r="AT185" s="190">
        <f t="shared" si="133"/>
        <v>16.587709229454699</v>
      </c>
      <c r="AU185" s="169">
        <f t="shared" si="134"/>
        <v>88.332352789979424</v>
      </c>
      <c r="AV185" s="225"/>
      <c r="AX185">
        <f t="shared" si="135"/>
        <v>0</v>
      </c>
      <c r="AY185">
        <f t="shared" si="136"/>
        <v>0</v>
      </c>
    </row>
    <row r="186" spans="14:51" x14ac:dyDescent="0.2">
      <c r="N186" s="170">
        <v>68</v>
      </c>
      <c r="O186" s="199">
        <f t="shared" si="137"/>
        <v>478.63009232263886</v>
      </c>
      <c r="P186" s="189" t="str">
        <f t="shared" si="103"/>
        <v>771.276595744681</v>
      </c>
      <c r="Q186" s="160" t="str">
        <f t="shared" si="104"/>
        <v>1+3067.46799492872i</v>
      </c>
      <c r="R186" s="160">
        <f t="shared" si="112"/>
        <v>3067.4681579296011</v>
      </c>
      <c r="S186" s="160">
        <f t="shared" si="113"/>
        <v>1.5704703250350649</v>
      </c>
      <c r="T186" s="160" t="str">
        <f t="shared" si="105"/>
        <v>1+0.000721757175277346i</v>
      </c>
      <c r="U186" s="160">
        <f t="shared" si="114"/>
        <v>1.000000260466676</v>
      </c>
      <c r="V186" s="160">
        <f t="shared" si="115"/>
        <v>7.2175704994824059E-4</v>
      </c>
      <c r="W186" s="98" t="str">
        <f t="shared" si="106"/>
        <v>1-0.00204497866328581i</v>
      </c>
      <c r="X186" s="160">
        <f t="shared" si="116"/>
        <v>1.0000020909666805</v>
      </c>
      <c r="Y186" s="160">
        <f t="shared" si="117"/>
        <v>-2.0449758126351511E-3</v>
      </c>
      <c r="Z186" s="98" t="str">
        <f t="shared" si="107"/>
        <v>0.999908365293889-0.0140015848435726i</v>
      </c>
      <c r="AA186" s="160">
        <f t="shared" si="118"/>
        <v>1.000006391660988</v>
      </c>
      <c r="AB186" s="160">
        <f t="shared" si="119"/>
        <v>-1.4001952871017413E-2</v>
      </c>
      <c r="AC186" s="171" t="str">
        <f t="shared" si="120"/>
        <v>0.00326977319643722-0.251415245649882i</v>
      </c>
      <c r="AD186" s="190">
        <f t="shared" si="121"/>
        <v>-11.991433297343736</v>
      </c>
      <c r="AE186" s="169">
        <f t="shared" si="122"/>
        <v>-89.254883521071903</v>
      </c>
      <c r="AF186" s="98" t="str">
        <f t="shared" si="108"/>
        <v>-0.0000119284294234592</v>
      </c>
      <c r="AG186" s="98" t="str">
        <f t="shared" si="109"/>
        <v>0.0000168476168639115i</v>
      </c>
      <c r="AH186" s="98">
        <f t="shared" si="123"/>
        <v>1.68476168639115E-5</v>
      </c>
      <c r="AI186" s="98">
        <f t="shared" si="124"/>
        <v>1.5707963267948966</v>
      </c>
      <c r="AJ186" s="98" t="str">
        <f t="shared" si="110"/>
        <v>1+0.0145497204065049i</v>
      </c>
      <c r="AK186" s="98">
        <f t="shared" si="125"/>
        <v>1.0001058415807336</v>
      </c>
      <c r="AL186" s="98">
        <f t="shared" si="126"/>
        <v>1.4548693838957388E-2</v>
      </c>
      <c r="AM186" s="98" t="str">
        <f t="shared" si="111"/>
        <v>1+37.0502016642371i</v>
      </c>
      <c r="AN186" s="98">
        <f t="shared" si="127"/>
        <v>37.063694410577007</v>
      </c>
      <c r="AO186" s="98">
        <f t="shared" si="128"/>
        <v>1.543812471543679</v>
      </c>
      <c r="AP186" s="168" t="str">
        <f t="shared" si="129"/>
        <v>-26.2163878719711+1.08945991055555i</v>
      </c>
      <c r="AQ186" s="98">
        <f t="shared" si="130"/>
        <v>28.378950605150749</v>
      </c>
      <c r="AR186" s="169">
        <f t="shared" si="131"/>
        <v>177.62036022471304</v>
      </c>
      <c r="AS186" s="168" t="str">
        <f t="shared" si="132"/>
        <v>0.188185188666849+6.59476188369833i</v>
      </c>
      <c r="AT186" s="190">
        <f t="shared" si="133"/>
        <v>16.387517307807016</v>
      </c>
      <c r="AU186" s="169">
        <f t="shared" si="134"/>
        <v>88.365476703641164</v>
      </c>
      <c r="AV186" s="225"/>
      <c r="AX186">
        <f t="shared" si="135"/>
        <v>0</v>
      </c>
      <c r="AY186">
        <f t="shared" si="136"/>
        <v>0</v>
      </c>
    </row>
    <row r="187" spans="14:51" x14ac:dyDescent="0.2">
      <c r="N187" s="170">
        <v>69</v>
      </c>
      <c r="O187" s="199">
        <f t="shared" si="137"/>
        <v>489.77881936844625</v>
      </c>
      <c r="P187" s="189" t="str">
        <f t="shared" si="103"/>
        <v>771.276595744681</v>
      </c>
      <c r="Q187" s="160" t="str">
        <f t="shared" si="104"/>
        <v>1+3138.91850325606i</v>
      </c>
      <c r="R187" s="160">
        <f t="shared" si="112"/>
        <v>3138.9186625465882</v>
      </c>
      <c r="S187" s="160">
        <f t="shared" si="113"/>
        <v>1.5704777457405841</v>
      </c>
      <c r="T187" s="160" t="str">
        <f t="shared" si="105"/>
        <v>1+0.000738569059589661i</v>
      </c>
      <c r="U187" s="160">
        <f t="shared" si="114"/>
        <v>1.0000002727420907</v>
      </c>
      <c r="V187" s="160">
        <f t="shared" si="115"/>
        <v>7.3856892529710705E-4</v>
      </c>
      <c r="W187" s="98" t="str">
        <f t="shared" si="106"/>
        <v>1-0.00209261233550404i</v>
      </c>
      <c r="X187" s="160">
        <f t="shared" si="116"/>
        <v>1.0000021895107962</v>
      </c>
      <c r="Y187" s="160">
        <f t="shared" si="117"/>
        <v>-2.0926092809771873E-3</v>
      </c>
      <c r="Z187" s="98" t="str">
        <f t="shared" si="107"/>
        <v>0.999904046683239-0.0143277236512523i</v>
      </c>
      <c r="AA187" s="160">
        <f t="shared" si="118"/>
        <v>1.000006693096873</v>
      </c>
      <c r="AB187" s="160">
        <f t="shared" si="119"/>
        <v>-1.4328117998434257E-2</v>
      </c>
      <c r="AC187" s="171" t="str">
        <f t="shared" si="120"/>
        <v>0.00326608375587755-0.245691359523668i</v>
      </c>
      <c r="AD187" s="190">
        <f t="shared" si="121"/>
        <v>-12.191434932227645</v>
      </c>
      <c r="AE187" s="169">
        <f t="shared" si="122"/>
        <v>-89.238386758150213</v>
      </c>
      <c r="AF187" s="98" t="str">
        <f t="shared" si="108"/>
        <v>-0.0000119284294234592</v>
      </c>
      <c r="AG187" s="98" t="str">
        <f t="shared" si="109"/>
        <v>0.0000172400482734717i</v>
      </c>
      <c r="AH187" s="98">
        <f t="shared" si="123"/>
        <v>1.7240048273471701E-5</v>
      </c>
      <c r="AI187" s="98">
        <f t="shared" si="124"/>
        <v>1.5707963267948966</v>
      </c>
      <c r="AJ187" s="98" t="str">
        <f t="shared" si="110"/>
        <v>1+0.0148886269316207i</v>
      </c>
      <c r="AK187" s="98">
        <f t="shared" si="125"/>
        <v>1.0001108294643695</v>
      </c>
      <c r="AL187" s="98">
        <f t="shared" si="126"/>
        <v>1.4887526951258851E-2</v>
      </c>
      <c r="AM187" s="98" t="str">
        <f t="shared" si="111"/>
        <v>1+37.9132117256026i</v>
      </c>
      <c r="AN187" s="98">
        <f t="shared" si="127"/>
        <v>37.926397447561115</v>
      </c>
      <c r="AO187" s="98">
        <f t="shared" si="128"/>
        <v>1.5444264110602153</v>
      </c>
      <c r="AP187" s="168" t="str">
        <f t="shared" si="129"/>
        <v>-26.2161263730209+1.08222444667591i</v>
      </c>
      <c r="AQ187" s="98">
        <f t="shared" si="130"/>
        <v>28.378764994426817</v>
      </c>
      <c r="AR187" s="169">
        <f t="shared" si="131"/>
        <v>177.63612266059275</v>
      </c>
      <c r="AS187" s="168" t="str">
        <f t="shared" si="132"/>
        <v>0.180269131124597+6.44461036571729i</v>
      </c>
      <c r="AT187" s="190">
        <f t="shared" si="133"/>
        <v>16.187330062199162</v>
      </c>
      <c r="AU187" s="169">
        <f t="shared" si="134"/>
        <v>88.397735902442548</v>
      </c>
      <c r="AV187" s="225"/>
      <c r="AX187">
        <f t="shared" si="135"/>
        <v>0</v>
      </c>
      <c r="AY187">
        <f t="shared" si="136"/>
        <v>0</v>
      </c>
    </row>
    <row r="188" spans="14:51" x14ac:dyDescent="0.2">
      <c r="N188" s="170">
        <v>70</v>
      </c>
      <c r="O188" s="199">
        <f t="shared" si="137"/>
        <v>501.18723362727269</v>
      </c>
      <c r="P188" s="189" t="str">
        <f t="shared" si="103"/>
        <v>771.276595744681</v>
      </c>
      <c r="Q188" s="160" t="str">
        <f t="shared" si="104"/>
        <v>1+3212.03330772232i</v>
      </c>
      <c r="R188" s="160">
        <f t="shared" si="112"/>
        <v>3212.0334633869534</v>
      </c>
      <c r="S188" s="160">
        <f t="shared" si="113"/>
        <v>1.5704849975302568</v>
      </c>
      <c r="T188" s="160" t="str">
        <f t="shared" si="105"/>
        <v>1+0.000755772542993486i</v>
      </c>
      <c r="U188" s="160">
        <f t="shared" si="114"/>
        <v>1.0000002855960275</v>
      </c>
      <c r="V188" s="160">
        <f t="shared" si="115"/>
        <v>7.5577239909642414E-4</v>
      </c>
      <c r="W188" s="98" t="str">
        <f t="shared" si="106"/>
        <v>1-0.00214135553848154i</v>
      </c>
      <c r="X188" s="160">
        <f t="shared" si="116"/>
        <v>1.0000022926991428</v>
      </c>
      <c r="Y188" s="160">
        <f t="shared" si="117"/>
        <v>-2.1413522654974543E-3</v>
      </c>
      <c r="Z188" s="98" t="str">
        <f t="shared" si="107"/>
        <v>0.99989952454274-0.0146614592076617i</v>
      </c>
      <c r="AA188" s="160">
        <f t="shared" si="118"/>
        <v>1.0000070087588862</v>
      </c>
      <c r="AB188" s="160">
        <f t="shared" si="119"/>
        <v>-1.4661881756787816E-2</v>
      </c>
      <c r="AC188" s="171" t="str">
        <f t="shared" si="120"/>
        <v>0.00326256034520948-0.240097742094041i</v>
      </c>
      <c r="AD188" s="190">
        <f t="shared" si="121"/>
        <v>-12.391436646247358</v>
      </c>
      <c r="AE188" s="169">
        <f t="shared" si="122"/>
        <v>-89.22148608123652</v>
      </c>
      <c r="AF188" s="98" t="str">
        <f t="shared" si="108"/>
        <v>-0.0000119284294234592</v>
      </c>
      <c r="AG188" s="98" t="str">
        <f t="shared" si="109"/>
        <v>0.0000176416205848255i</v>
      </c>
      <c r="AH188" s="98">
        <f t="shared" si="123"/>
        <v>1.7641620584825501E-5</v>
      </c>
      <c r="AI188" s="98">
        <f t="shared" si="124"/>
        <v>1.5707963267948966</v>
      </c>
      <c r="AJ188" s="98" t="str">
        <f t="shared" si="110"/>
        <v>1+0.01523542760381i</v>
      </c>
      <c r="AK188" s="98">
        <f t="shared" si="125"/>
        <v>1.0001160523930563</v>
      </c>
      <c r="AL188" s="98">
        <f t="shared" si="126"/>
        <v>1.5234248961003529E-2</v>
      </c>
      <c r="AM188" s="98" t="str">
        <f t="shared" si="111"/>
        <v>1+38.7963238736656i</v>
      </c>
      <c r="AN188" s="98">
        <f t="shared" si="127"/>
        <v>38.809209552764088</v>
      </c>
      <c r="AO188" s="98">
        <f t="shared" si="128"/>
        <v>1.5450263948208425</v>
      </c>
      <c r="AP188" s="168" t="str">
        <f t="shared" si="129"/>
        <v>-26.2158525555962+1.0755624255339i</v>
      </c>
      <c r="AQ188" s="98">
        <f t="shared" si="130"/>
        <v>28.37858374238753</v>
      </c>
      <c r="AR188" s="169">
        <f t="shared" si="131"/>
        <v>177.6506334900304</v>
      </c>
      <c r="AS188" s="168" t="str">
        <f t="shared" si="132"/>
        <v>0.172709308888133+6.29787609298729i</v>
      </c>
      <c r="AT188" s="190">
        <f t="shared" si="133"/>
        <v>15.987147096140182</v>
      </c>
      <c r="AU188" s="169">
        <f t="shared" si="134"/>
        <v>88.429147408793895</v>
      </c>
      <c r="AV188" s="225"/>
      <c r="AX188">
        <f t="shared" si="135"/>
        <v>0</v>
      </c>
      <c r="AY188">
        <f t="shared" si="136"/>
        <v>0</v>
      </c>
    </row>
    <row r="189" spans="14:51" x14ac:dyDescent="0.2">
      <c r="N189" s="170">
        <v>71</v>
      </c>
      <c r="O189" s="199">
        <f t="shared" si="137"/>
        <v>512.86138399136519</v>
      </c>
      <c r="P189" s="189" t="str">
        <f t="shared" si="103"/>
        <v>771.276595744681</v>
      </c>
      <c r="Q189" s="160" t="str">
        <f t="shared" si="104"/>
        <v>1+3286.85117476462i</v>
      </c>
      <c r="R189" s="160">
        <f t="shared" si="112"/>
        <v>3286.8513268858937</v>
      </c>
      <c r="S189" s="160">
        <f t="shared" si="113"/>
        <v>1.5704920842490755</v>
      </c>
      <c r="T189" s="160" t="str">
        <f t="shared" si="105"/>
        <v>1+0.000773376747003439i</v>
      </c>
      <c r="U189" s="160">
        <f t="shared" si="114"/>
        <v>1.0000002990557517</v>
      </c>
      <c r="V189" s="160">
        <f t="shared" si="115"/>
        <v>7.7337659281496171E-4</v>
      </c>
      <c r="W189" s="98" t="str">
        <f t="shared" si="106"/>
        <v>1-0.00219123411650974i</v>
      </c>
      <c r="X189" s="160">
        <f t="shared" si="116"/>
        <v>1.000002400750595</v>
      </c>
      <c r="Y189" s="160">
        <f t="shared" si="117"/>
        <v>-2.1912306094445614E-3</v>
      </c>
      <c r="Z189" s="98" t="str">
        <f t="shared" si="107"/>
        <v>0.999894789280324-0.0150029684638103i</v>
      </c>
      <c r="AA189" s="160">
        <f t="shared" si="118"/>
        <v>1.000007339319402</v>
      </c>
      <c r="AB189" s="160">
        <f t="shared" si="119"/>
        <v>-1.5003421231681949E-2</v>
      </c>
      <c r="AC189" s="171" t="str">
        <f t="shared" si="120"/>
        <v>0.00325919549079305-0.234631427557453i</v>
      </c>
      <c r="AD189" s="190">
        <f t="shared" si="121"/>
        <v>-12.591438443062913</v>
      </c>
      <c r="AE189" s="169">
        <f t="shared" si="122"/>
        <v>-89.204172522462329</v>
      </c>
      <c r="AF189" s="98" t="str">
        <f t="shared" si="108"/>
        <v>-0.0000119284294234592</v>
      </c>
      <c r="AG189" s="98" t="str">
        <f t="shared" si="109"/>
        <v>0.0000180525467169278i</v>
      </c>
      <c r="AH189" s="98">
        <f t="shared" si="123"/>
        <v>1.8052546716927798E-5</v>
      </c>
      <c r="AI189" s="98">
        <f t="shared" si="124"/>
        <v>1.5707963267948966</v>
      </c>
      <c r="AJ189" s="98" t="str">
        <f t="shared" si="110"/>
        <v>1+0.0155903063013795i</v>
      </c>
      <c r="AK189" s="98">
        <f t="shared" si="125"/>
        <v>1.0001215214415551</v>
      </c>
      <c r="AL189" s="98">
        <f t="shared" si="126"/>
        <v>1.5589043371146199E-2</v>
      </c>
      <c r="AM189" s="98" t="str">
        <f t="shared" si="111"/>
        <v>1+39.7000063461765i</v>
      </c>
      <c r="AN189" s="98">
        <f t="shared" si="127"/>
        <v>39.712598805498168</v>
      </c>
      <c r="AO189" s="98">
        <f t="shared" si="128"/>
        <v>1.5456127392160428</v>
      </c>
      <c r="AP189" s="168" t="str">
        <f t="shared" si="129"/>
        <v>-26.2155658396842+1.06947028860325i</v>
      </c>
      <c r="AQ189" s="98">
        <f t="shared" si="130"/>
        <v>28.37840646522627</v>
      </c>
      <c r="AR189" s="169">
        <f t="shared" si="131"/>
        <v>177.66390032692053</v>
      </c>
      <c r="AS189" s="168" t="str">
        <f t="shared" si="132"/>
        <v>0.165489686571975+6.15448124993366i</v>
      </c>
      <c r="AT189" s="190">
        <f t="shared" si="133"/>
        <v>15.786968022163364</v>
      </c>
      <c r="AU189" s="169">
        <f t="shared" si="134"/>
        <v>88.459727804458183</v>
      </c>
      <c r="AV189" s="225"/>
      <c r="AX189">
        <f t="shared" si="135"/>
        <v>0</v>
      </c>
      <c r="AY189">
        <f t="shared" si="136"/>
        <v>0</v>
      </c>
    </row>
    <row r="190" spans="14:51" x14ac:dyDescent="0.2">
      <c r="N190" s="170">
        <v>72</v>
      </c>
      <c r="O190" s="199">
        <f t="shared" si="137"/>
        <v>524.80746024977248</v>
      </c>
      <c r="P190" s="189" t="str">
        <f t="shared" si="103"/>
        <v>771.276595744681</v>
      </c>
      <c r="Q190" s="160" t="str">
        <f t="shared" si="104"/>
        <v>1+3363.4117738064i</v>
      </c>
      <c r="R190" s="160">
        <f t="shared" si="112"/>
        <v>3363.4119224649717</v>
      </c>
      <c r="S190" s="160">
        <f t="shared" si="113"/>
        <v>1.5704990096545091</v>
      </c>
      <c r="T190" s="160" t="str">
        <f t="shared" si="105"/>
        <v>1+0.000791391005601506i</v>
      </c>
      <c r="U190" s="160">
        <f t="shared" si="114"/>
        <v>1.0000003131498127</v>
      </c>
      <c r="V190" s="160">
        <f t="shared" si="115"/>
        <v>7.9139084038557872E-4</v>
      </c>
      <c r="W190" s="98" t="str">
        <f t="shared" si="106"/>
        <v>1-0.00224227451587093i</v>
      </c>
      <c r="X190" s="160">
        <f t="shared" si="116"/>
        <v>1.0000025138943425</v>
      </c>
      <c r="Y190" s="160">
        <f t="shared" si="117"/>
        <v>-2.2422707579833963E-3</v>
      </c>
      <c r="Z190" s="98" t="str">
        <f t="shared" si="107"/>
        <v>0.999889830851866-0.0153524324924263i</v>
      </c>
      <c r="AA190" s="160">
        <f t="shared" si="118"/>
        <v>1.0000076854826705</v>
      </c>
      <c r="AB190" s="160">
        <f t="shared" si="119"/>
        <v>-1.5352917640062849E-2</v>
      </c>
      <c r="AC190" s="171" t="str">
        <f t="shared" si="120"/>
        <v>0.00325598205530531-0.229289517607522i</v>
      </c>
      <c r="AD190" s="190">
        <f t="shared" si="121"/>
        <v>-12.791440326512248</v>
      </c>
      <c r="AE190" s="169">
        <f t="shared" si="122"/>
        <v>-89.186436894549971</v>
      </c>
      <c r="AF190" s="98" t="str">
        <f t="shared" si="108"/>
        <v>-0.0000119284294234592</v>
      </c>
      <c r="AG190" s="98" t="str">
        <f t="shared" si="109"/>
        <v>0.0000184730445482531i</v>
      </c>
      <c r="AH190" s="98">
        <f t="shared" si="123"/>
        <v>1.8473044548253101E-5</v>
      </c>
      <c r="AI190" s="98">
        <f t="shared" si="124"/>
        <v>1.5707963267948966</v>
      </c>
      <c r="AJ190" s="98" t="str">
        <f t="shared" si="110"/>
        <v>1+0.0159534511857122i</v>
      </c>
      <c r="AK190" s="98">
        <f t="shared" si="125"/>
        <v>1.0001272482063144</v>
      </c>
      <c r="AL190" s="98">
        <f t="shared" si="126"/>
        <v>1.5952097940884979E-2</v>
      </c>
      <c r="AM190" s="98" t="str">
        <f t="shared" si="111"/>
        <v>1+40.624738287544i</v>
      </c>
      <c r="AN190" s="98">
        <f t="shared" si="127"/>
        <v>40.637044195308341</v>
      </c>
      <c r="AO190" s="98">
        <f t="shared" si="128"/>
        <v>1.5461857535197721</v>
      </c>
      <c r="AP190" s="168" t="str">
        <f t="shared" si="129"/>
        <v>-26.2152656179894+1.0639447776431i</v>
      </c>
      <c r="AQ190" s="98">
        <f t="shared" si="130"/>
        <v>28.378232787522432</v>
      </c>
      <c r="AR190" s="169">
        <f t="shared" si="131"/>
        <v>177.67593013354588</v>
      </c>
      <c r="AS190" s="168" t="str">
        <f t="shared" si="132"/>
        <v>0.158594950399593+6.01434979260569i</v>
      </c>
      <c r="AT190" s="190">
        <f t="shared" si="133"/>
        <v>15.586792461010184</v>
      </c>
      <c r="AU190" s="169">
        <f t="shared" si="134"/>
        <v>88.489493238995877</v>
      </c>
      <c r="AV190" s="225"/>
      <c r="AX190">
        <f t="shared" si="135"/>
        <v>0</v>
      </c>
      <c r="AY190">
        <f t="shared" si="136"/>
        <v>0</v>
      </c>
    </row>
    <row r="191" spans="14:51" x14ac:dyDescent="0.2">
      <c r="N191" s="170">
        <v>73</v>
      </c>
      <c r="O191" s="199">
        <f t="shared" si="137"/>
        <v>537.03179637025301</v>
      </c>
      <c r="P191" s="189" t="str">
        <f t="shared" si="103"/>
        <v>771.276595744681</v>
      </c>
      <c r="Q191" s="160" t="str">
        <f t="shared" si="104"/>
        <v>1+3441.75569829067i</v>
      </c>
      <c r="R191" s="160">
        <f t="shared" si="112"/>
        <v>3441.7558435653586</v>
      </c>
      <c r="S191" s="160">
        <f t="shared" si="113"/>
        <v>1.5705057774184963</v>
      </c>
      <c r="T191" s="160" t="str">
        <f t="shared" si="105"/>
        <v>1+0.000809824870186039i</v>
      </c>
      <c r="U191" s="160">
        <f t="shared" si="114"/>
        <v>1.0000003279081064</v>
      </c>
      <c r="V191" s="160">
        <f t="shared" si="115"/>
        <v>8.0982469315398647E-4</v>
      </c>
      <c r="W191" s="98" t="str">
        <f t="shared" si="106"/>
        <v>1-0.00229450379886044i</v>
      </c>
      <c r="X191" s="160">
        <f t="shared" si="116"/>
        <v>1.0000026323703768</v>
      </c>
      <c r="Y191" s="160">
        <f t="shared" si="117"/>
        <v>-2.2944997722119734E-3</v>
      </c>
      <c r="Z191" s="98" t="str">
        <f t="shared" si="107"/>
        <v>0.999884638739875-0.0157100365839632i</v>
      </c>
      <c r="AA191" s="160">
        <f t="shared" si="118"/>
        <v>1.0000080479863347</v>
      </c>
      <c r="AB191" s="160">
        <f t="shared" si="119"/>
        <v>-1.5710556426913675E-2</v>
      </c>
      <c r="AC191" s="171" t="str">
        <f t="shared" si="120"/>
        <v>0.00325291322260075-0.224069179898335i</v>
      </c>
      <c r="AD191" s="190">
        <f t="shared" si="121"/>
        <v>-12.991442300619749</v>
      </c>
      <c r="AE191" s="169">
        <f t="shared" si="122"/>
        <v>-89.168269785906105</v>
      </c>
      <c r="AF191" s="98" t="str">
        <f t="shared" si="108"/>
        <v>-0.0000119284294234592</v>
      </c>
      <c r="AG191" s="98" t="str">
        <f t="shared" si="109"/>
        <v>0.0000189033370323176i</v>
      </c>
      <c r="AH191" s="98">
        <f t="shared" si="123"/>
        <v>1.8903337032317601E-5</v>
      </c>
      <c r="AI191" s="98">
        <f t="shared" si="124"/>
        <v>1.5707963267948966</v>
      </c>
      <c r="AJ191" s="98" t="str">
        <f t="shared" si="110"/>
        <v>1+0.0163250548010323i</v>
      </c>
      <c r="AK191" s="98">
        <f t="shared" si="125"/>
        <v>1.000133244830036</v>
      </c>
      <c r="AL191" s="98">
        <f t="shared" si="126"/>
        <v>1.6323604783508618E-2</v>
      </c>
      <c r="AM191" s="98" t="str">
        <f t="shared" si="111"/>
        <v>1+41.5710100028833i</v>
      </c>
      <c r="AN191" s="98">
        <f t="shared" si="127"/>
        <v>41.583035875941327</v>
      </c>
      <c r="AO191" s="98">
        <f t="shared" si="128"/>
        <v>1.5467457400457632</v>
      </c>
      <c r="AP191" s="168" t="str">
        <f t="shared" si="129"/>
        <v>-26.214951254652+1.0589829328365i</v>
      </c>
      <c r="AQ191" s="98">
        <f t="shared" si="130"/>
        <v>28.37806234145004</v>
      </c>
      <c r="AR191" s="169">
        <f t="shared" si="131"/>
        <v>177.68672922392679</v>
      </c>
      <c r="AS191" s="168" t="str">
        <f t="shared" si="132"/>
        <v>0.152010475720916+5.87740740828943i</v>
      </c>
      <c r="AT191" s="190">
        <f t="shared" si="133"/>
        <v>15.386620040830284</v>
      </c>
      <c r="AU191" s="169">
        <f t="shared" si="134"/>
        <v>88.518459438020685</v>
      </c>
      <c r="AV191" s="225"/>
      <c r="AX191">
        <f t="shared" si="135"/>
        <v>0</v>
      </c>
      <c r="AY191">
        <f t="shared" si="136"/>
        <v>0</v>
      </c>
    </row>
    <row r="192" spans="14:51" x14ac:dyDescent="0.2">
      <c r="N192" s="170">
        <v>74</v>
      </c>
      <c r="O192" s="199">
        <f t="shared" si="137"/>
        <v>549.54087385762534</v>
      </c>
      <c r="P192" s="189" t="str">
        <f t="shared" si="103"/>
        <v>771.276595744681</v>
      </c>
      <c r="Q192" s="160" t="str">
        <f t="shared" si="104"/>
        <v>1+3521.9244872032i</v>
      </c>
      <c r="R192" s="160">
        <f t="shared" si="112"/>
        <v>3521.9246291710338</v>
      </c>
      <c r="S192" s="160">
        <f t="shared" si="113"/>
        <v>1.5705123911293932</v>
      </c>
      <c r="T192" s="160" t="str">
        <f t="shared" si="105"/>
        <v>1+0.000828688114636046i</v>
      </c>
      <c r="U192" s="160">
        <f t="shared" si="114"/>
        <v>1.0000003433619369</v>
      </c>
      <c r="V192" s="160">
        <f t="shared" si="115"/>
        <v>8.2868792494278766E-4</v>
      </c>
      <c r="W192" s="98" t="str">
        <f t="shared" si="106"/>
        <v>1-0.00234794965813546i</v>
      </c>
      <c r="X192" s="160">
        <f t="shared" si="116"/>
        <v>1.0000027564299996</v>
      </c>
      <c r="Y192" s="160">
        <f t="shared" si="117"/>
        <v>-2.3479453435045349E-3</v>
      </c>
      <c r="Z192" s="98" t="str">
        <f t="shared" si="107"/>
        <v>0.999879201931184-0.0160759703448438i</v>
      </c>
      <c r="AA192" s="160">
        <f t="shared" si="118"/>
        <v>1.0000084276030226</v>
      </c>
      <c r="AB192" s="160">
        <f t="shared" si="119"/>
        <v>-1.6076527364235736E-2</v>
      </c>
      <c r="AC192" s="171" t="str">
        <f t="shared" si="120"/>
        <v>0.00324998248325348-0.218967646542733i</v>
      </c>
      <c r="AD192" s="190">
        <f t="shared" si="121"/>
        <v>-13.191444369604788</v>
      </c>
      <c r="AE192" s="169">
        <f t="shared" si="122"/>
        <v>-89.149661555593667</v>
      </c>
      <c r="AF192" s="98" t="str">
        <f t="shared" si="108"/>
        <v>-0.0000119284294234592</v>
      </c>
      <c r="AG192" s="98" t="str">
        <f t="shared" si="109"/>
        <v>0.0000193436523158919i</v>
      </c>
      <c r="AH192" s="98">
        <f t="shared" si="123"/>
        <v>1.9343652315891899E-5</v>
      </c>
      <c r="AI192" s="98">
        <f t="shared" si="124"/>
        <v>1.5707963267948966</v>
      </c>
      <c r="AJ192" s="98" t="str">
        <f t="shared" si="110"/>
        <v>1+0.0167053141764957i</v>
      </c>
      <c r="AK192" s="98">
        <f t="shared" si="125"/>
        <v>1.0001395240273907</v>
      </c>
      <c r="AL192" s="98">
        <f t="shared" si="126"/>
        <v>1.6703760466432398E-2</v>
      </c>
      <c r="AM192" s="98" t="str">
        <f t="shared" si="111"/>
        <v>1+42.5393232179837i</v>
      </c>
      <c r="AN192" s="98">
        <f t="shared" si="127"/>
        <v>42.551075425235581</v>
      </c>
      <c r="AO192" s="98">
        <f t="shared" si="128"/>
        <v>1.5472929943006535</v>
      </c>
      <c r="AP192" s="168" t="str">
        <f t="shared" si="129"/>
        <v>-26.2146220839074+1.05458209107764i</v>
      </c>
      <c r="AQ192" s="98">
        <f t="shared" si="130"/>
        <v>28.377894766002385</v>
      </c>
      <c r="AR192" s="169">
        <f t="shared" si="131"/>
        <v>177.69630326686308</v>
      </c>
      <c r="AS192" s="168" t="str">
        <f t="shared" si="132"/>
        <v>0.145722295991576+5.74358147604351i</v>
      </c>
      <c r="AT192" s="190">
        <f t="shared" si="133"/>
        <v>15.186450396397591</v>
      </c>
      <c r="AU192" s="169">
        <f t="shared" si="134"/>
        <v>88.546641711269459</v>
      </c>
      <c r="AV192" s="225"/>
      <c r="AX192">
        <f t="shared" si="135"/>
        <v>0</v>
      </c>
      <c r="AY192">
        <f t="shared" si="136"/>
        <v>0</v>
      </c>
    </row>
    <row r="193" spans="14:51" x14ac:dyDescent="0.2">
      <c r="N193" s="170">
        <v>75</v>
      </c>
      <c r="O193" s="199">
        <f t="shared" si="137"/>
        <v>562.34132519034927</v>
      </c>
      <c r="P193" s="189" t="str">
        <f t="shared" si="103"/>
        <v>771.276595744681</v>
      </c>
      <c r="Q193" s="160" t="str">
        <f t="shared" si="104"/>
        <v>1+3603.96064709702i</v>
      </c>
      <c r="R193" s="160">
        <f t="shared" si="112"/>
        <v>3603.9607858332711</v>
      </c>
      <c r="S193" s="160">
        <f t="shared" si="113"/>
        <v>1.5705188542938742</v>
      </c>
      <c r="T193" s="160" t="str">
        <f t="shared" si="105"/>
        <v>1+0.000847990740493415i</v>
      </c>
      <c r="U193" s="160">
        <f t="shared" si="114"/>
        <v>1.0000003595440834</v>
      </c>
      <c r="V193" s="160">
        <f t="shared" si="115"/>
        <v>8.4799053723343056E-4</v>
      </c>
      <c r="W193" s="98" t="str">
        <f t="shared" si="106"/>
        <v>1-0.00240264043139801i</v>
      </c>
      <c r="X193" s="160">
        <f t="shared" si="116"/>
        <v>1.0000028863363557</v>
      </c>
      <c r="Y193" s="160">
        <f t="shared" si="117"/>
        <v>-2.4026358081883992E-3</v>
      </c>
      <c r="Z193" s="98" t="str">
        <f t="shared" si="107"/>
        <v>0.999873508893593-0.0164504277979919i</v>
      </c>
      <c r="AA193" s="160">
        <f t="shared" si="118"/>
        <v>1.0000088251420201</v>
      </c>
      <c r="AB193" s="160">
        <f t="shared" si="119"/>
        <v>-1.6451024652369951E-2</v>
      </c>
      <c r="AC193" s="171" t="str">
        <f t="shared" si="120"/>
        <v>0.00324718362074948-0.213982212644758i</v>
      </c>
      <c r="AD193" s="190">
        <f t="shared" si="121"/>
        <v>-13.391446537891209</v>
      </c>
      <c r="AE193" s="169">
        <f t="shared" si="122"/>
        <v>-89.130602328179705</v>
      </c>
      <c r="AF193" s="98" t="str">
        <f t="shared" si="108"/>
        <v>-0.0000119284294234592</v>
      </c>
      <c r="AG193" s="98" t="str">
        <f t="shared" si="109"/>
        <v>0.0000197942238599676i</v>
      </c>
      <c r="AH193" s="98">
        <f t="shared" si="123"/>
        <v>1.9794223859967598E-5</v>
      </c>
      <c r="AI193" s="98">
        <f t="shared" si="124"/>
        <v>1.5707963267948966</v>
      </c>
      <c r="AJ193" s="98" t="str">
        <f t="shared" si="110"/>
        <v>1+0.0170944309306563i</v>
      </c>
      <c r="AK193" s="98">
        <f t="shared" si="125"/>
        <v>1.0001460991119462</v>
      </c>
      <c r="AL193" s="98">
        <f t="shared" si="126"/>
        <v>1.7092766113463127E-2</v>
      </c>
      <c r="AM193" s="98" t="str">
        <f t="shared" si="111"/>
        <v>1+43.5301913453287i</v>
      </c>
      <c r="AN193" s="98">
        <f t="shared" si="127"/>
        <v>43.54167611106547</v>
      </c>
      <c r="AO193" s="98">
        <f t="shared" si="128"/>
        <v>1.5478278051339758</v>
      </c>
      <c r="AP193" s="168" t="str">
        <f t="shared" si="129"/>
        <v>-26.2142774086837+1.05073988440614i</v>
      </c>
      <c r="AQ193" s="98">
        <f t="shared" si="130"/>
        <v>28.377729706231079</v>
      </c>
      <c r="AR193" s="169">
        <f t="shared" si="131"/>
        <v>177.70465728866876</v>
      </c>
      <c r="AS193" s="168" t="str">
        <f t="shared" si="132"/>
        <v>0.139717073148062+5.61280102813594i</v>
      </c>
      <c r="AT193" s="190">
        <f t="shared" si="133"/>
        <v>14.986283168339867</v>
      </c>
      <c r="AU193" s="169">
        <f t="shared" si="134"/>
        <v>88.57405496048905</v>
      </c>
      <c r="AV193" s="225"/>
      <c r="AX193">
        <f t="shared" si="135"/>
        <v>0</v>
      </c>
      <c r="AY193">
        <f t="shared" si="136"/>
        <v>0</v>
      </c>
    </row>
    <row r="194" spans="14:51" x14ac:dyDescent="0.2">
      <c r="N194" s="170">
        <v>76</v>
      </c>
      <c r="O194" s="199">
        <f t="shared" si="137"/>
        <v>575.43993733715706</v>
      </c>
      <c r="P194" s="189" t="str">
        <f t="shared" si="103"/>
        <v>771.276595744681</v>
      </c>
      <c r="Q194" s="160" t="str">
        <f t="shared" si="104"/>
        <v>1+3687.90767462999i</v>
      </c>
      <c r="R194" s="160">
        <f t="shared" si="112"/>
        <v>3687.907810208219</v>
      </c>
      <c r="S194" s="160">
        <f t="shared" si="113"/>
        <v>1.5705251703387926</v>
      </c>
      <c r="T194" s="160" t="str">
        <f t="shared" si="105"/>
        <v>1+0.00086774298226588i</v>
      </c>
      <c r="U194" s="160">
        <f t="shared" si="114"/>
        <v>1.0000003764888707</v>
      </c>
      <c r="V194" s="160">
        <f t="shared" si="115"/>
        <v>8.6774276446888708E-4</v>
      </c>
      <c r="W194" s="98" t="str">
        <f t="shared" si="106"/>
        <v>1-0.00245860511641999i</v>
      </c>
      <c r="X194" s="160">
        <f t="shared" si="116"/>
        <v>1.0000030223649921</v>
      </c>
      <c r="Y194" s="160">
        <f t="shared" si="117"/>
        <v>-2.4586001625624488E-3</v>
      </c>
      <c r="Z194" s="98" t="str">
        <f t="shared" si="107"/>
        <v>0.999867547551407-0.0168336074857056i</v>
      </c>
      <c r="AA194" s="160">
        <f t="shared" si="118"/>
        <v>1.0000092414510218</v>
      </c>
      <c r="AB194" s="160">
        <f t="shared" si="119"/>
        <v>-1.6834247023716466E-2</v>
      </c>
      <c r="AC194" s="171" t="str">
        <f t="shared" si="120"/>
        <v>0.00324451069830041-0.209110234865507i</v>
      </c>
      <c r="AD194" s="190">
        <f t="shared" si="121"/>
        <v>-13.591448810116848</v>
      </c>
      <c r="AE194" s="169">
        <f t="shared" si="122"/>
        <v>-89.111081988455823</v>
      </c>
      <c r="AF194" s="98" t="str">
        <f t="shared" si="108"/>
        <v>-0.0000119284294234592</v>
      </c>
      <c r="AG194" s="98" t="str">
        <f t="shared" si="109"/>
        <v>0.0000202552905635413i</v>
      </c>
      <c r="AH194" s="98">
        <f t="shared" si="123"/>
        <v>2.0255290563541301E-5</v>
      </c>
      <c r="AI194" s="98">
        <f t="shared" si="124"/>
        <v>1.5707963267948966</v>
      </c>
      <c r="AJ194" s="98" t="str">
        <f t="shared" si="110"/>
        <v>1+0.017492611378368i</v>
      </c>
      <c r="AK194" s="98">
        <f t="shared" si="125"/>
        <v>1.0001529840243615</v>
      </c>
      <c r="AL194" s="98">
        <f t="shared" si="126"/>
        <v>1.7490827509342572E-2</v>
      </c>
      <c r="AM194" s="98" t="str">
        <f t="shared" si="111"/>
        <v>1+44.5441397563152i</v>
      </c>
      <c r="AN194" s="98">
        <f t="shared" si="127"/>
        <v>44.55536316348617</v>
      </c>
      <c r="AO194" s="98">
        <f t="shared" si="128"/>
        <v>1.548350454885068</v>
      </c>
      <c r="AP194" s="168" t="str">
        <f t="shared" si="129"/>
        <v>-26.2139164991317+1.04745423858691i</v>
      </c>
      <c r="AQ194" s="98">
        <f t="shared" si="130"/>
        <v>28.377566812497047</v>
      </c>
      <c r="AR194" s="169">
        <f t="shared" si="131"/>
        <v>177.71179567559892</v>
      </c>
      <c r="AS194" s="168" t="str">
        <f t="shared" si="132"/>
        <v>0.133982069315993+5.48499671236129i</v>
      </c>
      <c r="AT194" s="190">
        <f t="shared" si="133"/>
        <v>14.78611800238019</v>
      </c>
      <c r="AU194" s="169">
        <f t="shared" si="134"/>
        <v>88.600713687143113</v>
      </c>
      <c r="AV194" s="225"/>
      <c r="AX194">
        <f t="shared" si="135"/>
        <v>0</v>
      </c>
      <c r="AY194">
        <f t="shared" si="136"/>
        <v>0</v>
      </c>
    </row>
    <row r="195" spans="14:51" x14ac:dyDescent="0.2">
      <c r="N195" s="170">
        <v>77</v>
      </c>
      <c r="O195" s="199">
        <f t="shared" si="137"/>
        <v>588.84365535558959</v>
      </c>
      <c r="P195" s="189" t="str">
        <f t="shared" si="103"/>
        <v>771.276595744681</v>
      </c>
      <c r="Q195" s="160" t="str">
        <f t="shared" si="104"/>
        <v>1+3773.81007962728i</v>
      </c>
      <c r="R195" s="160">
        <f t="shared" si="112"/>
        <v>3773.810212119372</v>
      </c>
      <c r="S195" s="160">
        <f t="shared" si="113"/>
        <v>1.570531342612997</v>
      </c>
      <c r="T195" s="160" t="str">
        <f t="shared" si="105"/>
        <v>1+0.000887955312853478i</v>
      </c>
      <c r="U195" s="160">
        <f t="shared" si="114"/>
        <v>1.0000003942322411</v>
      </c>
      <c r="V195" s="160">
        <f t="shared" si="115"/>
        <v>8.879550794798004E-4</v>
      </c>
      <c r="W195" s="98" t="str">
        <f t="shared" si="106"/>
        <v>1-0.00251587338641818i</v>
      </c>
      <c r="X195" s="160">
        <f t="shared" si="116"/>
        <v>1.0000031648044403</v>
      </c>
      <c r="Y195" s="160">
        <f t="shared" si="117"/>
        <v>-2.5158680782650968E-3</v>
      </c>
      <c r="Z195" s="98" t="str">
        <f t="shared" si="107"/>
        <v>0.999861305259819-0.0172257125749274i</v>
      </c>
      <c r="AA195" s="160">
        <f t="shared" si="118"/>
        <v>1.0000096774179654</v>
      </c>
      <c r="AB195" s="160">
        <f t="shared" si="119"/>
        <v>-1.7226397848911508E-2</v>
      </c>
      <c r="AC195" s="171" t="str">
        <f t="shared" si="120"/>
        <v>0.00324195804625074-0.204349130021619i</v>
      </c>
      <c r="AD195" s="190">
        <f t="shared" si="121"/>
        <v>-13.791451191143686</v>
      </c>
      <c r="AE195" s="169">
        <f t="shared" si="122"/>
        <v>-89.091090176028445</v>
      </c>
      <c r="AF195" s="98" t="str">
        <f t="shared" si="108"/>
        <v>-0.0000119284294234592</v>
      </c>
      <c r="AG195" s="98" t="str">
        <f t="shared" si="109"/>
        <v>0.0000207270968902823i</v>
      </c>
      <c r="AH195" s="98">
        <f t="shared" si="123"/>
        <v>2.07270968902823E-5</v>
      </c>
      <c r="AI195" s="98">
        <f t="shared" si="124"/>
        <v>1.5707963267948966</v>
      </c>
      <c r="AJ195" s="98" t="str">
        <f t="shared" si="110"/>
        <v>1+0.0179000666401746i</v>
      </c>
      <c r="AK195" s="98">
        <f t="shared" si="125"/>
        <v>1.0001601933619049</v>
      </c>
      <c r="AL195" s="98">
        <f t="shared" si="126"/>
        <v>1.7898155206610415E-2</v>
      </c>
      <c r="AM195" s="98" t="str">
        <f t="shared" si="111"/>
        <v>1+45.5817060598119i</v>
      </c>
      <c r="AN195" s="98">
        <f t="shared" si="127"/>
        <v>45.592674053219255</v>
      </c>
      <c r="AO195" s="98">
        <f t="shared" si="128"/>
        <v>1.5488612195269438</v>
      </c>
      <c r="AP195" s="168" t="str">
        <f t="shared" si="129"/>
        <v>-26.2135385910875+1.04472337183392i</v>
      </c>
      <c r="AQ195" s="98">
        <f t="shared" si="130"/>
        <v>28.377405739732939</v>
      </c>
      <c r="AR195" s="169">
        <f t="shared" si="131"/>
        <v>177.71772217597066</v>
      </c>
      <c r="AS195" s="168" t="str">
        <f t="shared" si="132"/>
        <v>0.128505119791434+5.36010075521829i</v>
      </c>
      <c r="AT195" s="190">
        <f t="shared" si="133"/>
        <v>14.585954548589253</v>
      </c>
      <c r="AU195" s="169">
        <f t="shared" si="134"/>
        <v>88.626631999942234</v>
      </c>
      <c r="AV195" s="225"/>
      <c r="AX195">
        <f t="shared" si="135"/>
        <v>0</v>
      </c>
      <c r="AY195">
        <f t="shared" si="136"/>
        <v>0</v>
      </c>
    </row>
    <row r="196" spans="14:51" x14ac:dyDescent="0.2">
      <c r="N196" s="170">
        <v>78</v>
      </c>
      <c r="O196" s="199">
        <f t="shared" si="137"/>
        <v>602.55958607435832</v>
      </c>
      <c r="P196" s="189" t="str">
        <f t="shared" si="103"/>
        <v>771.276595744681</v>
      </c>
      <c r="Q196" s="160" t="str">
        <f t="shared" si="104"/>
        <v>1+3861.71340868107i</v>
      </c>
      <c r="R196" s="160">
        <f t="shared" si="112"/>
        <v>3861.7135381572734</v>
      </c>
      <c r="S196" s="160">
        <f t="shared" si="113"/>
        <v>1.5705373743891071</v>
      </c>
      <c r="T196" s="160" t="str">
        <f t="shared" si="105"/>
        <v>1+0.000908638449101428i</v>
      </c>
      <c r="U196" s="160">
        <f t="shared" si="114"/>
        <v>1.0000004128118303</v>
      </c>
      <c r="V196" s="160">
        <f t="shared" si="115"/>
        <v>9.0863819903703276E-4</v>
      </c>
      <c r="W196" s="98" t="str">
        <f t="shared" si="106"/>
        <v>1-0.00257447560578738i</v>
      </c>
      <c r="X196" s="160">
        <f t="shared" si="116"/>
        <v>1.0000033139568314</v>
      </c>
      <c r="Y196" s="160">
        <f t="shared" si="117"/>
        <v>-2.5744699179998938E-3</v>
      </c>
      <c r="Z196" s="98" t="str">
        <f t="shared" si="107"/>
        <v>0.999854768778092-0.0176269509649657i</v>
      </c>
      <c r="AA196" s="160">
        <f t="shared" si="118"/>
        <v>1.0000101339729579</v>
      </c>
      <c r="AB196" s="160">
        <f t="shared" si="119"/>
        <v>-1.7627685245520393E-2</v>
      </c>
      <c r="AC196" s="171" t="str">
        <f t="shared" si="120"/>
        <v>0.00323952025005127-0.199696373715653i</v>
      </c>
      <c r="AD196" s="190">
        <f t="shared" si="121"/>
        <v>-13.991453686068578</v>
      </c>
      <c r="AE196" s="169">
        <f t="shared" si="122"/>
        <v>-89.070616279775749</v>
      </c>
      <c r="AF196" s="98" t="str">
        <f t="shared" si="108"/>
        <v>-0.0000119284294234592</v>
      </c>
      <c r="AG196" s="98" t="str">
        <f t="shared" si="109"/>
        <v>0.0000212098929981501i</v>
      </c>
      <c r="AH196" s="98">
        <f t="shared" si="123"/>
        <v>2.12098929981501E-5</v>
      </c>
      <c r="AI196" s="98">
        <f t="shared" si="124"/>
        <v>1.5707963267948966</v>
      </c>
      <c r="AJ196" s="98" t="str">
        <f t="shared" si="110"/>
        <v>1+0.0183170127542491i</v>
      </c>
      <c r="AK196" s="98">
        <f t="shared" si="125"/>
        <v>1.0001677424093616</v>
      </c>
      <c r="AL196" s="98">
        <f t="shared" si="126"/>
        <v>1.8314964634836103E-2</v>
      </c>
      <c r="AM196" s="98" t="str">
        <f t="shared" si="111"/>
        <v>1+46.6434403872067i</v>
      </c>
      <c r="AN196" s="98">
        <f t="shared" si="127"/>
        <v>46.654158776628968</v>
      </c>
      <c r="AO196" s="98">
        <f t="shared" si="128"/>
        <v>1.5493603688071778</v>
      </c>
      <c r="AP196" s="168" t="str">
        <f t="shared" si="129"/>
        <v>-26.2131428844642+1.0425457936765i</v>
      </c>
      <c r="AQ196" s="98">
        <f t="shared" si="130"/>
        <v>28.377246146715351</v>
      </c>
      <c r="AR196" s="169">
        <f t="shared" si="131"/>
        <v>177.72243990197649</v>
      </c>
      <c r="AS196" s="168" t="str">
        <f t="shared" si="132"/>
        <v>0.123274607237995+5.23804692592799i</v>
      </c>
      <c r="AT196" s="190">
        <f t="shared" si="133"/>
        <v>14.385792460646767</v>
      </c>
      <c r="AU196" s="169">
        <f t="shared" si="134"/>
        <v>88.651823622200752</v>
      </c>
      <c r="AV196" s="225"/>
      <c r="AX196">
        <f t="shared" si="135"/>
        <v>0</v>
      </c>
      <c r="AY196">
        <f t="shared" si="136"/>
        <v>0</v>
      </c>
    </row>
    <row r="197" spans="14:51" x14ac:dyDescent="0.2">
      <c r="N197" s="170">
        <v>79</v>
      </c>
      <c r="O197" s="199">
        <f t="shared" si="137"/>
        <v>616.59500186148273</v>
      </c>
      <c r="P197" s="189" t="str">
        <f t="shared" si="103"/>
        <v>771.276595744681</v>
      </c>
      <c r="Q197" s="160" t="str">
        <f t="shared" si="104"/>
        <v>1+3951.66426929997i</v>
      </c>
      <c r="R197" s="160">
        <f t="shared" si="112"/>
        <v>3951.6643958289351</v>
      </c>
      <c r="S197" s="160">
        <f t="shared" si="113"/>
        <v>1.5705432688652483</v>
      </c>
      <c r="T197" s="160" t="str">
        <f t="shared" si="105"/>
        <v>1+0.000929803357482345i</v>
      </c>
      <c r="U197" s="160">
        <f t="shared" si="114"/>
        <v>1.0000004322670484</v>
      </c>
      <c r="V197" s="160">
        <f t="shared" si="115"/>
        <v>9.2980308953352414E-4</v>
      </c>
      <c r="W197" s="98" t="str">
        <f t="shared" si="106"/>
        <v>1-0.00263444284619998i</v>
      </c>
      <c r="X197" s="160">
        <f t="shared" si="116"/>
        <v>1.0000034701385341</v>
      </c>
      <c r="Y197" s="160">
        <f t="shared" si="117"/>
        <v>-2.6344367516270271E-3</v>
      </c>
      <c r="Z197" s="98" t="str">
        <f t="shared" si="107"/>
        <v>0.999847924241472-0.0180375353977258i</v>
      </c>
      <c r="AA197" s="160">
        <f t="shared" si="118"/>
        <v>1.0000106120902941</v>
      </c>
      <c r="AB197" s="160">
        <f t="shared" si="119"/>
        <v>-1.8038322189309525E-2</v>
      </c>
      <c r="AC197" s="171" t="str">
        <f t="shared" si="120"/>
        <v>0.00323719213877392-0.195149498997633i</v>
      </c>
      <c r="AD197" s="190">
        <f t="shared" si="121"/>
        <v>-14.19145630023457</v>
      </c>
      <c r="AE197" s="169">
        <f t="shared" si="122"/>
        <v>-89.04964943216811</v>
      </c>
      <c r="AF197" s="98" t="str">
        <f t="shared" si="108"/>
        <v>-0.0000119284294234592</v>
      </c>
      <c r="AG197" s="98" t="str">
        <f t="shared" si="109"/>
        <v>0.0000217039348720316i</v>
      </c>
      <c r="AH197" s="98">
        <f t="shared" si="123"/>
        <v>2.17039348720316E-5</v>
      </c>
      <c r="AI197" s="98">
        <f t="shared" si="124"/>
        <v>1.5707963267948966</v>
      </c>
      <c r="AJ197" s="98" t="str">
        <f t="shared" si="110"/>
        <v>1+0.0187436707909404i</v>
      </c>
      <c r="AK197" s="98">
        <f t="shared" si="125"/>
        <v>1.0001756471713952</v>
      </c>
      <c r="AL197" s="98">
        <f t="shared" si="126"/>
        <v>1.8741476212264838E-2</v>
      </c>
      <c r="AM197" s="98" t="str">
        <f t="shared" si="111"/>
        <v>1+47.7299056840937i</v>
      </c>
      <c r="AN197" s="98">
        <f t="shared" si="127"/>
        <v>47.740380147339415</v>
      </c>
      <c r="AO197" s="98">
        <f t="shared" si="128"/>
        <v>1.5498481663858505</v>
      </c>
      <c r="AP197" s="168" t="str">
        <f t="shared" si="129"/>
        <v>-26.2127285415667+1.04092030396668i</v>
      </c>
      <c r="AQ197" s="98">
        <f t="shared" si="130"/>
        <v>28.377087695344425</v>
      </c>
      <c r="AR197" s="169">
        <f t="shared" si="131"/>
        <v>177.72595133119103</v>
      </c>
      <c r="AS197" s="168" t="str">
        <f t="shared" si="132"/>
        <v>0.118279437044987+5.11877050127279i</v>
      </c>
      <c r="AT197" s="190">
        <f t="shared" si="133"/>
        <v>14.185631395109858</v>
      </c>
      <c r="AU197" s="169">
        <f t="shared" si="134"/>
        <v>88.676301899022917</v>
      </c>
      <c r="AV197" s="225"/>
      <c r="AX197">
        <f t="shared" si="135"/>
        <v>0</v>
      </c>
      <c r="AY197">
        <f t="shared" si="136"/>
        <v>0</v>
      </c>
    </row>
    <row r="198" spans="14:51" x14ac:dyDescent="0.2">
      <c r="N198" s="170">
        <v>80</v>
      </c>
      <c r="O198" s="199">
        <f t="shared" si="137"/>
        <v>630.95734448019323</v>
      </c>
      <c r="P198" s="189" t="str">
        <f t="shared" si="103"/>
        <v>771.276595744681</v>
      </c>
      <c r="Q198" s="160" t="str">
        <f t="shared" si="104"/>
        <v>1+4043.7103546209i</v>
      </c>
      <c r="R198" s="160">
        <f t="shared" si="112"/>
        <v>4043.7104782697147</v>
      </c>
      <c r="S198" s="160">
        <f t="shared" si="113"/>
        <v>1.5705490291667488</v>
      </c>
      <c r="T198" s="160" t="str">
        <f t="shared" si="105"/>
        <v>1+0.000951461259910799i</v>
      </c>
      <c r="U198" s="160">
        <f t="shared" si="114"/>
        <v>1.0000004526391622</v>
      </c>
      <c r="V198" s="160">
        <f t="shared" si="115"/>
        <v>9.5146097279847166E-4</v>
      </c>
      <c r="W198" s="98" t="str">
        <f t="shared" si="106"/>
        <v>1-0.0026958069030806i</v>
      </c>
      <c r="X198" s="160">
        <f t="shared" si="116"/>
        <v>1.0000036336808276</v>
      </c>
      <c r="Y198" s="160">
        <f t="shared" si="117"/>
        <v>-2.6958003726293054E-3</v>
      </c>
      <c r="Z198" s="98" t="str">
        <f t="shared" si="107"/>
        <v>0.999840757131779-0.0184576835705089i</v>
      </c>
      <c r="AA198" s="160">
        <f t="shared" si="118"/>
        <v>1.000011112790572</v>
      </c>
      <c r="AB198" s="160">
        <f t="shared" si="119"/>
        <v>-1.8458526628160724E-2</v>
      </c>
      <c r="AC198" s="171" t="str">
        <f t="shared" si="120"/>
        <v>0.00323496877414339-0.190706095057061i</v>
      </c>
      <c r="AD198" s="190">
        <f t="shared" si="121"/>
        <v>-14.391459039242312</v>
      </c>
      <c r="AE198" s="169">
        <f t="shared" si="122"/>
        <v>-89.028178503448771</v>
      </c>
      <c r="AF198" s="98" t="str">
        <f t="shared" si="108"/>
        <v>-0.0000119284294234592</v>
      </c>
      <c r="AG198" s="98" t="str">
        <f t="shared" si="109"/>
        <v>0.0000222094844594678i</v>
      </c>
      <c r="AH198" s="98">
        <f t="shared" si="123"/>
        <v>2.2209484459467799E-5</v>
      </c>
      <c r="AI198" s="98">
        <f t="shared" si="124"/>
        <v>1.5707963267948966</v>
      </c>
      <c r="AJ198" s="98" t="str">
        <f t="shared" si="110"/>
        <v>1+0.0191802669699867i</v>
      </c>
      <c r="AK198" s="98">
        <f t="shared" si="125"/>
        <v>1.0001839244064263</v>
      </c>
      <c r="AL198" s="98">
        <f t="shared" si="126"/>
        <v>1.9177915459923131E-2</v>
      </c>
      <c r="AM198" s="98" t="str">
        <f t="shared" si="111"/>
        <v>1+48.8416780087544i</v>
      </c>
      <c r="AN198" s="98">
        <f t="shared" si="127"/>
        <v>48.851914094647739</v>
      </c>
      <c r="AO198" s="98">
        <f t="shared" si="128"/>
        <v>1.5503248699706054</v>
      </c>
      <c r="AP198" s="168" t="str">
        <f t="shared" si="129"/>
        <v>-26.2122946853292+1.0398459920259i</v>
      </c>
      <c r="AQ198" s="98">
        <f t="shared" si="130"/>
        <v>28.376930049930358</v>
      </c>
      <c r="AR198" s="169">
        <f t="shared" si="131"/>
        <v>177.72825830777154</v>
      </c>
      <c r="AS198" s="168" t="str">
        <f t="shared" si="132"/>
        <v>0.11350901379431+5.00220823123821i</v>
      </c>
      <c r="AT198" s="190">
        <f t="shared" si="133"/>
        <v>13.985471010688054</v>
      </c>
      <c r="AU198" s="169">
        <f t="shared" si="134"/>
        <v>88.700079804322783</v>
      </c>
      <c r="AV198" s="225"/>
      <c r="AX198">
        <f t="shared" si="135"/>
        <v>0</v>
      </c>
      <c r="AY198">
        <f t="shared" si="136"/>
        <v>0</v>
      </c>
    </row>
    <row r="199" spans="14:51" x14ac:dyDescent="0.2">
      <c r="N199" s="170">
        <v>81</v>
      </c>
      <c r="O199" s="199">
        <f t="shared" si="137"/>
        <v>645.65422903465594</v>
      </c>
      <c r="P199" s="189" t="str">
        <f t="shared" si="103"/>
        <v>771.276595744681</v>
      </c>
      <c r="Q199" s="160" t="str">
        <f t="shared" si="104"/>
        <v>1+4137.90046869669i</v>
      </c>
      <c r="R199" s="160">
        <f t="shared" si="112"/>
        <v>4137.9005895309137</v>
      </c>
      <c r="S199" s="160">
        <f t="shared" si="113"/>
        <v>1.5705546583477947</v>
      </c>
      <c r="T199" s="160" t="str">
        <f t="shared" si="105"/>
        <v>1+0.000973623639693338i</v>
      </c>
      <c r="U199" s="160">
        <f t="shared" si="114"/>
        <v>1.0000004739713837</v>
      </c>
      <c r="V199" s="160">
        <f t="shared" si="115"/>
        <v>9.7362333204694437E-4</v>
      </c>
      <c r="W199" s="98" t="str">
        <f t="shared" si="106"/>
        <v>1-0.00275860031246445i</v>
      </c>
      <c r="X199" s="160">
        <f t="shared" si="116"/>
        <v>1.0000038049306033</v>
      </c>
      <c r="Y199" s="160">
        <f t="shared" si="117"/>
        <v>-2.7585933149612538E-3</v>
      </c>
      <c r="Z199" s="98" t="str">
        <f t="shared" si="107"/>
        <v>0.999833252246612-0.0188876182514373i</v>
      </c>
      <c r="AA199" s="160">
        <f t="shared" si="118"/>
        <v>1.0000116371429131</v>
      </c>
      <c r="AB199" s="160">
        <f t="shared" si="119"/>
        <v>-1.8888521598691449E-2</v>
      </c>
      <c r="AC199" s="171" t="str">
        <f t="shared" si="120"/>
        <v>0.00323284544006168-0.186363805944675i</v>
      </c>
      <c r="AD199" s="190">
        <f t="shared" si="121"/>
        <v>-14.591461908962868</v>
      </c>
      <c r="AE199" s="169">
        <f t="shared" si="122"/>
        <v>-89.006192095671395</v>
      </c>
      <c r="AF199" s="98" t="str">
        <f t="shared" si="108"/>
        <v>-0.0000119284294234592</v>
      </c>
      <c r="AG199" s="98" t="str">
        <f t="shared" si="109"/>
        <v>0.0000227268098095418i</v>
      </c>
      <c r="AH199" s="98">
        <f t="shared" si="123"/>
        <v>2.2726809809541801E-5</v>
      </c>
      <c r="AI199" s="98">
        <f t="shared" si="124"/>
        <v>1.5707963267948966</v>
      </c>
      <c r="AJ199" s="98" t="str">
        <f t="shared" si="110"/>
        <v>1+0.0196270327804614i</v>
      </c>
      <c r="AK199" s="98">
        <f t="shared" si="125"/>
        <v>1.0001925916621084</v>
      </c>
      <c r="AL199" s="98">
        <f t="shared" si="126"/>
        <v>1.9624513118234987E-2</v>
      </c>
      <c r="AM199" s="98" t="str">
        <f t="shared" si="111"/>
        <v>1+49.9793468375914i</v>
      </c>
      <c r="AN199" s="98">
        <f t="shared" si="127"/>
        <v>49.989349968890949</v>
      </c>
      <c r="AO199" s="98">
        <f t="shared" si="128"/>
        <v>1.5507907314488625</v>
      </c>
      <c r="AP199" s="168" t="str">
        <f t="shared" si="129"/>
        <v>-26.2118403974697+1.03932223592987i</v>
      </c>
      <c r="AQ199" s="98">
        <f t="shared" si="130"/>
        <v>28.376772876484658</v>
      </c>
      <c r="AR199" s="169">
        <f t="shared" si="131"/>
        <v>177.72936204335167</v>
      </c>
      <c r="AS199" s="168" t="str">
        <f t="shared" si="132"/>
        <v>0.108953218786236+4.88829830543802i</v>
      </c>
      <c r="AT199" s="190">
        <f t="shared" si="133"/>
        <v>13.785310967521799</v>
      </c>
      <c r="AU199" s="169">
        <f t="shared" si="134"/>
        <v>88.72316994768029</v>
      </c>
      <c r="AV199" s="225"/>
      <c r="AX199">
        <f t="shared" si="135"/>
        <v>0</v>
      </c>
      <c r="AY199">
        <f t="shared" si="136"/>
        <v>0</v>
      </c>
    </row>
    <row r="200" spans="14:51" x14ac:dyDescent="0.2">
      <c r="N200" s="170">
        <v>82</v>
      </c>
      <c r="O200" s="199">
        <f t="shared" si="137"/>
        <v>660.69344800759643</v>
      </c>
      <c r="P200" s="189" t="str">
        <f t="shared" si="103"/>
        <v>771.276595744681</v>
      </c>
      <c r="Q200" s="160" t="str">
        <f t="shared" si="104"/>
        <v>1+4234.28455237257i</v>
      </c>
      <c r="R200" s="160">
        <f t="shared" si="112"/>
        <v>4234.2846704562708</v>
      </c>
      <c r="S200" s="160">
        <f t="shared" si="113"/>
        <v>1.5705601593930512</v>
      </c>
      <c r="T200" s="160" t="str">
        <f t="shared" si="105"/>
        <v>1+0.000996302247617075i</v>
      </c>
      <c r="U200" s="160">
        <f t="shared" si="114"/>
        <v>1.000000496308961</v>
      </c>
      <c r="V200" s="160">
        <f t="shared" si="115"/>
        <v>9.9630191796803384E-4</v>
      </c>
      <c r="W200" s="98" t="str">
        <f t="shared" si="106"/>
        <v>1-0.00282285636824838i</v>
      </c>
      <c r="X200" s="160">
        <f t="shared" si="116"/>
        <v>1.0000039842511008</v>
      </c>
      <c r="Y200" s="160">
        <f t="shared" si="117"/>
        <v>-2.8228488702902298E-3</v>
      </c>
      <c r="Z200" s="98" t="str">
        <f t="shared" si="107"/>
        <v>0.999825393667104-0.0193275673975699i</v>
      </c>
      <c r="AA200" s="160">
        <f t="shared" si="118"/>
        <v>1.000012186267291</v>
      </c>
      <c r="AB200" s="160">
        <f t="shared" si="119"/>
        <v>-1.9328535345650683E-2</v>
      </c>
      <c r="AC200" s="171" t="str">
        <f t="shared" si="120"/>
        <v>0.00323081763260469-0.182120329323314i</v>
      </c>
      <c r="AD200" s="190">
        <f t="shared" si="121"/>
        <v>-14.791464915550311</v>
      </c>
      <c r="AE200" s="169">
        <f t="shared" si="122"/>
        <v>-88.983678536591015</v>
      </c>
      <c r="AF200" s="98" t="str">
        <f t="shared" si="108"/>
        <v>-0.0000119284294234592</v>
      </c>
      <c r="AG200" s="98" t="str">
        <f t="shared" si="109"/>
        <v>0.0000232561852150016i</v>
      </c>
      <c r="AH200" s="98">
        <f t="shared" si="123"/>
        <v>2.3256185215001599E-5</v>
      </c>
      <c r="AI200" s="98">
        <f t="shared" si="124"/>
        <v>1.5707963267948966</v>
      </c>
      <c r="AJ200" s="98" t="str">
        <f t="shared" si="110"/>
        <v>1+0.0200842051035108i</v>
      </c>
      <c r="AK200" s="98">
        <f t="shared" si="125"/>
        <v>1.0002016673124676</v>
      </c>
      <c r="AL200" s="98">
        <f t="shared" si="126"/>
        <v>2.008150526619221E-2</v>
      </c>
      <c r="AM200" s="98" t="str">
        <f t="shared" si="111"/>
        <v>1+51.1435153776765i</v>
      </c>
      <c r="AN200" s="98">
        <f t="shared" si="127"/>
        <v>51.153290853928766</v>
      </c>
      <c r="AO200" s="98">
        <f t="shared" si="128"/>
        <v>1.5512459970172445</v>
      </c>
      <c r="AP200" s="168" t="str">
        <f t="shared" si="129"/>
        <v>-26.2113647165602+1.03934870192985i</v>
      </c>
      <c r="AQ200" s="98">
        <f t="shared" si="130"/>
        <v>28.376615842015475</v>
      </c>
      <c r="AR200" s="169">
        <f t="shared" si="131"/>
        <v>177.72926311762905</v>
      </c>
      <c r="AS200" s="168" t="str">
        <f t="shared" si="132"/>
        <v>0.104602388576328+4.77698032030606i</v>
      </c>
      <c r="AT200" s="190">
        <f t="shared" si="133"/>
        <v>13.58515092646517</v>
      </c>
      <c r="AU200" s="169">
        <f t="shared" si="134"/>
        <v>88.745584581038045</v>
      </c>
      <c r="AV200" s="225"/>
      <c r="AX200">
        <f t="shared" si="135"/>
        <v>0</v>
      </c>
      <c r="AY200">
        <f t="shared" si="136"/>
        <v>0</v>
      </c>
    </row>
    <row r="201" spans="14:51" x14ac:dyDescent="0.2">
      <c r="N201" s="170">
        <v>83</v>
      </c>
      <c r="O201" s="199">
        <f t="shared" si="137"/>
        <v>676.08297539198213</v>
      </c>
      <c r="P201" s="189" t="str">
        <f t="shared" si="103"/>
        <v>771.276595744681</v>
      </c>
      <c r="Q201" s="160" t="str">
        <f t="shared" si="104"/>
        <v>1+4332.9137097655i</v>
      </c>
      <c r="R201" s="160">
        <f t="shared" si="112"/>
        <v>4332.9138251612885</v>
      </c>
      <c r="S201" s="160">
        <f t="shared" si="113"/>
        <v>1.5705655352192436</v>
      </c>
      <c r="T201" s="160" t="str">
        <f t="shared" si="105"/>
        <v>1+0.00101950910818012i</v>
      </c>
      <c r="U201" s="160">
        <f t="shared" si="114"/>
        <v>1.0000005196992758</v>
      </c>
      <c r="V201" s="160">
        <f t="shared" si="115"/>
        <v>1.0195087549548184E-3</v>
      </c>
      <c r="W201" s="98" t="str">
        <f t="shared" si="106"/>
        <v>1-0.00288860913984366i</v>
      </c>
      <c r="X201" s="160">
        <f t="shared" si="116"/>
        <v>1.0000041720226784</v>
      </c>
      <c r="Y201" s="160">
        <f t="shared" si="117"/>
        <v>-2.8886011056385628E-3</v>
      </c>
      <c r="Z201" s="98" t="str">
        <f t="shared" si="107"/>
        <v>0.999817164724154-0.0197777642757673i</v>
      </c>
      <c r="AA201" s="160">
        <f t="shared" si="118"/>
        <v>1.0000127613369711</v>
      </c>
      <c r="AB201" s="160">
        <f t="shared" si="119"/>
        <v>-1.9778801444155954E-2</v>
      </c>
      <c r="AC201" s="171" t="str">
        <f t="shared" si="120"/>
        <v>0.00322888105046803-0.177973415247192i</v>
      </c>
      <c r="AD201" s="190">
        <f t="shared" si="121"/>
        <v>-14.991468065455585</v>
      </c>
      <c r="AE201" s="169">
        <f t="shared" si="122"/>
        <v>-88.960625873404879</v>
      </c>
      <c r="AF201" s="98" t="str">
        <f t="shared" si="108"/>
        <v>-0.0000119284294234592</v>
      </c>
      <c r="AG201" s="98" t="str">
        <f t="shared" si="109"/>
        <v>0.0000237978913576944i</v>
      </c>
      <c r="AH201" s="98">
        <f t="shared" si="123"/>
        <v>2.37978913576944E-5</v>
      </c>
      <c r="AI201" s="98">
        <f t="shared" si="124"/>
        <v>1.5707963267948966</v>
      </c>
      <c r="AJ201" s="98" t="str">
        <f t="shared" si="110"/>
        <v>1+0.020552026337952i</v>
      </c>
      <c r="AK201" s="98">
        <f t="shared" si="125"/>
        <v>1.0002111705967875</v>
      </c>
      <c r="AL201" s="98">
        <f t="shared" si="126"/>
        <v>2.0549133443130245E-2</v>
      </c>
      <c r="AM201" s="98" t="str">
        <f t="shared" si="111"/>
        <v>1+52.3348008865794i</v>
      </c>
      <c r="AN201" s="98">
        <f t="shared" si="127"/>
        <v>52.344353886908486</v>
      </c>
      <c r="AO201" s="98">
        <f t="shared" si="128"/>
        <v>1.5516909073082579</v>
      </c>
      <c r="AP201" s="168" t="str">
        <f t="shared" si="129"/>
        <v>-26.2108666360043+1.03992534400911i</v>
      </c>
      <c r="AQ201" s="98">
        <f t="shared" si="130"/>
        <v>28.376458613824106</v>
      </c>
      <c r="AR201" s="169">
        <f t="shared" si="131"/>
        <v>177.72796147864608</v>
      </c>
      <c r="AS201" s="168" t="str">
        <f t="shared" si="132"/>
        <v>0.100447294478073+4.66819524703554i</v>
      </c>
      <c r="AT201" s="190">
        <f t="shared" si="133"/>
        <v>13.384990548368528</v>
      </c>
      <c r="AU201" s="169">
        <f t="shared" si="134"/>
        <v>88.767335605241229</v>
      </c>
      <c r="AV201" s="225"/>
      <c r="AX201">
        <f t="shared" si="135"/>
        <v>0</v>
      </c>
      <c r="AY201">
        <f t="shared" si="136"/>
        <v>0</v>
      </c>
    </row>
    <row r="202" spans="14:51" x14ac:dyDescent="0.2">
      <c r="N202" s="170">
        <v>84</v>
      </c>
      <c r="O202" s="199">
        <f t="shared" si="137"/>
        <v>691.83097091893671</v>
      </c>
      <c r="P202" s="189" t="str">
        <f t="shared" si="103"/>
        <v>771.276595744681</v>
      </c>
      <c r="Q202" s="160" t="str">
        <f t="shared" si="104"/>
        <v>1+4433.84023536024i</v>
      </c>
      <c r="R202" s="160">
        <f t="shared" si="112"/>
        <v>4433.8403481292999</v>
      </c>
      <c r="S202" s="160">
        <f t="shared" si="113"/>
        <v>1.5705707886767053</v>
      </c>
      <c r="T202" s="160" t="str">
        <f t="shared" si="105"/>
        <v>1+0.00104325652596712i</v>
      </c>
      <c r="U202" s="160">
        <f t="shared" si="114"/>
        <v>1.0000005441919415</v>
      </c>
      <c r="V202" s="160">
        <f t="shared" si="115"/>
        <v>1.0432561474794013E-3</v>
      </c>
      <c r="W202" s="98" t="str">
        <f t="shared" si="106"/>
        <v>1-0.00295589349024016i</v>
      </c>
      <c r="X202" s="160">
        <f t="shared" si="116"/>
        <v>1.0000043686436202</v>
      </c>
      <c r="Y202" s="160">
        <f t="shared" si="117"/>
        <v>-2.9558848814363269E-3</v>
      </c>
      <c r="Z202" s="98" t="str">
        <f t="shared" si="107"/>
        <v>0.999808547963071-0.0202384475863733i</v>
      </c>
      <c r="AA202" s="160">
        <f t="shared" si="118"/>
        <v>1.0000133635810726</v>
      </c>
      <c r="AB202" s="160">
        <f t="shared" si="119"/>
        <v>-2.0239558924844674E-2</v>
      </c>
      <c r="AC202" s="171" t="str">
        <f t="shared" si="120"/>
        <v>0.00322703158584314-0.173920864968958i</v>
      </c>
      <c r="AD202" s="190">
        <f t="shared" si="121"/>
        <v>-15.191471365440689</v>
      </c>
      <c r="AE202" s="169">
        <f t="shared" si="122"/>
        <v>-88.937021866339563</v>
      </c>
      <c r="AF202" s="98" t="str">
        <f t="shared" si="108"/>
        <v>-0.0000119284294234592</v>
      </c>
      <c r="AG202" s="98" t="str">
        <f t="shared" si="109"/>
        <v>0.0000243522154573874i</v>
      </c>
      <c r="AH202" s="98">
        <f t="shared" si="123"/>
        <v>2.4352215457387402E-5</v>
      </c>
      <c r="AI202" s="98">
        <f t="shared" si="124"/>
        <v>1.5707963267948966</v>
      </c>
      <c r="AJ202" s="98" t="str">
        <f t="shared" si="110"/>
        <v>1+0.0210307445287957i</v>
      </c>
      <c r="AK202" s="98">
        <f t="shared" si="125"/>
        <v>1.0002211216603234</v>
      </c>
      <c r="AL202" s="98">
        <f t="shared" si="126"/>
        <v>2.1027644773156169E-2</v>
      </c>
      <c r="AM202" s="98" t="str">
        <f t="shared" si="111"/>
        <v>1+53.5538349996453i</v>
      </c>
      <c r="AN202" s="98">
        <f t="shared" si="127"/>
        <v>53.56317058548003</v>
      </c>
      <c r="AO202" s="98">
        <f t="shared" si="128"/>
        <v>1.5521256975142812</v>
      </c>
      <c r="AP202" s="168" t="str">
        <f t="shared" si="129"/>
        <v>-26.2103451019232+1.04105240357282i</v>
      </c>
      <c r="AQ202" s="98">
        <f t="shared" si="130"/>
        <v>28.376300858802939</v>
      </c>
      <c r="AR202" s="169">
        <f t="shared" si="131"/>
        <v>177.72545644276519</v>
      </c>
      <c r="AS202" s="168" t="str">
        <f t="shared" si="132"/>
        <v>0.0964791229876424+4.56188540025022i</v>
      </c>
      <c r="AT202" s="190">
        <f t="shared" si="133"/>
        <v>13.184829493362248</v>
      </c>
      <c r="AU202" s="169">
        <f t="shared" si="134"/>
        <v>88.788434576425615</v>
      </c>
      <c r="AV202" s="225"/>
      <c r="AX202">
        <f t="shared" si="135"/>
        <v>0</v>
      </c>
      <c r="AY202">
        <f t="shared" si="136"/>
        <v>0</v>
      </c>
    </row>
    <row r="203" spans="14:51" x14ac:dyDescent="0.2">
      <c r="N203" s="170">
        <v>85</v>
      </c>
      <c r="O203" s="199">
        <f t="shared" si="137"/>
        <v>707.94578438413873</v>
      </c>
      <c r="P203" s="189" t="str">
        <f t="shared" si="103"/>
        <v>771.276595744681</v>
      </c>
      <c r="Q203" s="160" t="str">
        <f t="shared" si="104"/>
        <v>1+4537.11764173659i</v>
      </c>
      <c r="R203" s="160">
        <f t="shared" si="112"/>
        <v>4537.117751938712</v>
      </c>
      <c r="S203" s="160">
        <f t="shared" si="113"/>
        <v>1.5705759225508875</v>
      </c>
      <c r="T203" s="160" t="str">
        <f t="shared" si="105"/>
        <v>1+0.00106755709217332i</v>
      </c>
      <c r="U203" s="160">
        <f t="shared" si="114"/>
        <v>1.0000005698389101</v>
      </c>
      <c r="V203" s="160">
        <f t="shared" si="115"/>
        <v>1.067556686616435E-3</v>
      </c>
      <c r="W203" s="98" t="str">
        <f t="shared" si="106"/>
        <v>1-0.00302474509449106i</v>
      </c>
      <c r="X203" s="160">
        <f t="shared" si="116"/>
        <v>1.0000045745309802</v>
      </c>
      <c r="Y203" s="160">
        <f t="shared" si="117"/>
        <v>-3.0247358699938371E-3</v>
      </c>
      <c r="Z203" s="98" t="str">
        <f t="shared" si="107"/>
        <v>0.999799525106549-0.0207098615897772i</v>
      </c>
      <c r="AA203" s="160">
        <f t="shared" si="118"/>
        <v>1.0000139942872543</v>
      </c>
      <c r="AB203" s="160">
        <f t="shared" si="119"/>
        <v>-2.0711052402011331E-2</v>
      </c>
      <c r="AC203" s="171" t="str">
        <f t="shared" si="120"/>
        <v>0.00322526531570355-0.169960529773896i</v>
      </c>
      <c r="AD203" s="190">
        <f t="shared" si="121"/>
        <v>-15.391474822593786</v>
      </c>
      <c r="AE203" s="169">
        <f t="shared" si="122"/>
        <v>-88.912853982080364</v>
      </c>
      <c r="AF203" s="98" t="str">
        <f t="shared" si="108"/>
        <v>-0.0000119284294234592</v>
      </c>
      <c r="AG203" s="98" t="str">
        <f t="shared" si="109"/>
        <v>0.0000249194514240556i</v>
      </c>
      <c r="AH203" s="98">
        <f t="shared" si="123"/>
        <v>2.49194514240556E-5</v>
      </c>
      <c r="AI203" s="98">
        <f t="shared" si="124"/>
        <v>1.5707963267948966</v>
      </c>
      <c r="AJ203" s="98" t="str">
        <f t="shared" si="110"/>
        <v>1+0.0215206134987635i</v>
      </c>
      <c r="AK203" s="98">
        <f t="shared" si="125"/>
        <v>1.0002315415969261</v>
      </c>
      <c r="AL203" s="98">
        <f t="shared" si="126"/>
        <v>2.1517292092278921E-2</v>
      </c>
      <c r="AM203" s="98" t="str">
        <f t="shared" si="111"/>
        <v>1+54.8012640648969i</v>
      </c>
      <c r="AN203" s="98">
        <f t="shared" si="127"/>
        <v>54.810387182636831</v>
      </c>
      <c r="AO203" s="98">
        <f t="shared" si="128"/>
        <v>1.5525505975089087</v>
      </c>
      <c r="AP203" s="168" t="str">
        <f t="shared" si="129"/>
        <v>-26.2097990109426+1.0427304092701i</v>
      </c>
      <c r="AQ203" s="98">
        <f t="shared" si="130"/>
        <v>28.376142242732275</v>
      </c>
      <c r="AR203" s="169">
        <f t="shared" si="131"/>
        <v>177.72174669433684</v>
      </c>
      <c r="AS203" s="168" t="str">
        <f t="shared" si="132"/>
        <v>0.0926894570893432+4.45799440738979i</v>
      </c>
      <c r="AT203" s="190">
        <f t="shared" si="133"/>
        <v>12.984667420138496</v>
      </c>
      <c r="AU203" s="169">
        <f t="shared" si="134"/>
        <v>88.808892712256494</v>
      </c>
      <c r="AV203" s="225"/>
      <c r="AX203">
        <f t="shared" si="135"/>
        <v>0</v>
      </c>
      <c r="AY203">
        <f t="shared" si="136"/>
        <v>0</v>
      </c>
    </row>
    <row r="204" spans="14:51" x14ac:dyDescent="0.2">
      <c r="N204" s="170">
        <v>86</v>
      </c>
      <c r="O204" s="199">
        <f t="shared" si="137"/>
        <v>724.43596007499025</v>
      </c>
      <c r="P204" s="189" t="str">
        <f t="shared" si="103"/>
        <v>771.276595744681</v>
      </c>
      <c r="Q204" s="160" t="str">
        <f t="shared" si="104"/>
        <v>1+4642.80068794243i</v>
      </c>
      <c r="R204" s="160">
        <f t="shared" si="112"/>
        <v>4642.8007956360461</v>
      </c>
      <c r="S204" s="160">
        <f t="shared" si="113"/>
        <v>1.5705809395638373</v>
      </c>
      <c r="T204" s="160" t="str">
        <f t="shared" si="105"/>
        <v>1+0.00109242369128057i</v>
      </c>
      <c r="U204" s="160">
        <f t="shared" si="114"/>
        <v>1.0000005966945826</v>
      </c>
      <c r="V204" s="160">
        <f t="shared" si="115"/>
        <v>1.0924232567185526E-3</v>
      </c>
      <c r="W204" s="98" t="str">
        <f t="shared" si="106"/>
        <v>1-0.00309520045862828i</v>
      </c>
      <c r="X204" s="160">
        <f t="shared" si="116"/>
        <v>1.0000047901214668</v>
      </c>
      <c r="Y204" s="160">
        <f t="shared" si="117"/>
        <v>-3.0951905744039817E-3</v>
      </c>
      <c r="Z204" s="98" t="str">
        <f t="shared" si="107"/>
        <v>0.9997900770159-0.0211922562359233i</v>
      </c>
      <c r="AA204" s="160">
        <f t="shared" si="118"/>
        <v>1.0000146548045326</v>
      </c>
      <c r="AB204" s="160">
        <f t="shared" si="119"/>
        <v>-2.1193532204804359E-2</v>
      </c>
      <c r="AC204" s="171" t="str">
        <f t="shared" si="120"/>
        <v>0.00322357849348294-0.166090309840657i</v>
      </c>
      <c r="AD204" s="190">
        <f t="shared" si="121"/>
        <v>-15.591478444344782</v>
      </c>
      <c r="AE204" s="169">
        <f t="shared" si="122"/>
        <v>-88.888109387039535</v>
      </c>
      <c r="AF204" s="98" t="str">
        <f t="shared" si="108"/>
        <v>-0.0000119284294234592</v>
      </c>
      <c r="AG204" s="98" t="str">
        <f t="shared" si="109"/>
        <v>0.0000254999000137167i</v>
      </c>
      <c r="AH204" s="98">
        <f t="shared" si="123"/>
        <v>2.5499900013716699E-5</v>
      </c>
      <c r="AI204" s="98">
        <f t="shared" si="124"/>
        <v>1.5707963267948966</v>
      </c>
      <c r="AJ204" s="98" t="str">
        <f t="shared" si="110"/>
        <v>1+0.0220218929828673i</v>
      </c>
      <c r="AK204" s="98">
        <f t="shared" si="125"/>
        <v>1.0002424524936686</v>
      </c>
      <c r="AL204" s="98">
        <f t="shared" si="126"/>
        <v>2.2018334078288591E-2</v>
      </c>
      <c r="AM204" s="98" t="str">
        <f t="shared" si="111"/>
        <v>1+56.077749485736i</v>
      </c>
      <c r="AN204" s="98">
        <f t="shared" si="127"/>
        <v>56.086664969357592</v>
      </c>
      <c r="AO204" s="98">
        <f t="shared" si="128"/>
        <v>1.5529658319656985</v>
      </c>
      <c r="AP204" s="168" t="str">
        <f t="shared" si="129"/>
        <v>-26.2092272078758+1.04496017694651i</v>
      </c>
      <c r="AQ204" s="98">
        <f t="shared" si="130"/>
        <v>28.375982429574517</v>
      </c>
      <c r="AR204" s="169">
        <f t="shared" si="131"/>
        <v>177.71683028506209</v>
      </c>
      <c r="AS204" s="168" t="str">
        <f t="shared" si="132"/>
        <v>0.0890702584020773+4.35646717879322i</v>
      </c>
      <c r="AT204" s="190">
        <f t="shared" si="133"/>
        <v>12.784503985229739</v>
      </c>
      <c r="AU204" s="169">
        <f t="shared" si="134"/>
        <v>88.828720898022567</v>
      </c>
      <c r="AV204" s="225"/>
      <c r="AX204">
        <f t="shared" si="135"/>
        <v>0</v>
      </c>
      <c r="AY204">
        <f t="shared" si="136"/>
        <v>0</v>
      </c>
    </row>
    <row r="205" spans="14:51" x14ac:dyDescent="0.2">
      <c r="N205" s="170">
        <v>87</v>
      </c>
      <c r="O205" s="199">
        <f t="shared" si="137"/>
        <v>741.31024130091828</v>
      </c>
      <c r="P205" s="189" t="str">
        <f t="shared" si="103"/>
        <v>771.276595744681</v>
      </c>
      <c r="Q205" s="160" t="str">
        <f t="shared" si="104"/>
        <v>1+4750.94540852775i</v>
      </c>
      <c r="R205" s="160">
        <f t="shared" si="112"/>
        <v>4750.9455137699597</v>
      </c>
      <c r="S205" s="160">
        <f t="shared" si="113"/>
        <v>1.5705858423756405</v>
      </c>
      <c r="T205" s="160" t="str">
        <f t="shared" si="105"/>
        <v>1+0.00111786950788888i</v>
      </c>
      <c r="U205" s="160">
        <f t="shared" si="114"/>
        <v>1.000000624815923</v>
      </c>
      <c r="V205" s="160">
        <f t="shared" si="115"/>
        <v>1.1178690422473045E-3</v>
      </c>
      <c r="W205" s="98" t="str">
        <f t="shared" si="106"/>
        <v>1-0.0031672969390185i</v>
      </c>
      <c r="X205" s="160">
        <f t="shared" si="116"/>
        <v>1.0000050158723706</v>
      </c>
      <c r="Y205" s="160">
        <f t="shared" si="117"/>
        <v>-3.1672863478842163E-3</v>
      </c>
      <c r="Z205" s="98" t="str">
        <f t="shared" si="107"/>
        <v>0.999780183650457-0.0216858872968384i</v>
      </c>
      <c r="AA205" s="160">
        <f t="shared" si="118"/>
        <v>1.000015346546238</v>
      </c>
      <c r="AB205" s="160">
        <f t="shared" si="119"/>
        <v>-2.1687254511561494E-2</v>
      </c>
      <c r="AC205" s="171" t="str">
        <f t="shared" si="120"/>
        <v>0.00322196754112778-0.162308153127902i</v>
      </c>
      <c r="AD205" s="190">
        <f t="shared" si="121"/>
        <v>-15.79148223848232</v>
      </c>
      <c r="AE205" s="169">
        <f t="shared" si="122"/>
        <v>-88.862774940458891</v>
      </c>
      <c r="AF205" s="98" t="str">
        <f t="shared" si="108"/>
        <v>-0.0000119284294234592</v>
      </c>
      <c r="AG205" s="98" t="str">
        <f t="shared" si="109"/>
        <v>0.0000260938689878963i</v>
      </c>
      <c r="AH205" s="98">
        <f t="shared" si="123"/>
        <v>2.6093868987896298E-5</v>
      </c>
      <c r="AI205" s="98">
        <f t="shared" si="124"/>
        <v>1.5707963267948966</v>
      </c>
      <c r="AJ205" s="98" t="str">
        <f t="shared" si="110"/>
        <v>1+0.0225348487661248i</v>
      </c>
      <c r="AK205" s="98">
        <f t="shared" si="125"/>
        <v>1.0002538774775693</v>
      </c>
      <c r="AL205" s="98">
        <f t="shared" si="126"/>
        <v>2.2531035383436451E-2</v>
      </c>
      <c r="AM205" s="98" t="str">
        <f t="shared" si="111"/>
        <v>1+57.3839680716293i</v>
      </c>
      <c r="AN205" s="98">
        <f t="shared" si="127"/>
        <v>57.39268064523359</v>
      </c>
      <c r="AO205" s="98">
        <f t="shared" si="128"/>
        <v>1.5533716204743704</v>
      </c>
      <c r="AP205" s="168" t="str">
        <f t="shared" si="129"/>
        <v>-26.2086284833008+1.04774280972546i</v>
      </c>
      <c r="AQ205" s="98">
        <f t="shared" si="130"/>
        <v>28.375821080765128</v>
      </c>
      <c r="AR205" s="169">
        <f t="shared" si="131"/>
        <v>177.7107046330481</v>
      </c>
      <c r="AS205" s="168" t="str">
        <f t="shared" si="132"/>
        <v>0.0856138501289061+4.25724987846427i</v>
      </c>
      <c r="AT205" s="190">
        <f t="shared" si="133"/>
        <v>12.584338842282815</v>
      </c>
      <c r="AU205" s="169">
        <f t="shared" si="134"/>
        <v>88.84792969258919</v>
      </c>
      <c r="AV205" s="225"/>
      <c r="AX205">
        <f t="shared" si="135"/>
        <v>0</v>
      </c>
      <c r="AY205">
        <f t="shared" si="136"/>
        <v>0</v>
      </c>
    </row>
    <row r="206" spans="14:51" x14ac:dyDescent="0.2">
      <c r="N206" s="170">
        <v>88</v>
      </c>
      <c r="O206" s="199">
        <f t="shared" si="137"/>
        <v>758.57757502918378</v>
      </c>
      <c r="P206" s="189" t="str">
        <f t="shared" si="103"/>
        <v>771.276595744681</v>
      </c>
      <c r="Q206" s="160" t="str">
        <f t="shared" si="104"/>
        <v>1+4861.60914325488i</v>
      </c>
      <c r="R206" s="160">
        <f t="shared" si="112"/>
        <v>4861.609246101485</v>
      </c>
      <c r="S206" s="160">
        <f t="shared" si="113"/>
        <v>1.5705906335858315</v>
      </c>
      <c r="T206" s="160" t="str">
        <f t="shared" si="105"/>
        <v>1+0.00114390803370703i</v>
      </c>
      <c r="U206" s="160">
        <f t="shared" si="114"/>
        <v>1.0000006542625808</v>
      </c>
      <c r="V206" s="160">
        <f t="shared" si="115"/>
        <v>1.1439075347631103E-3</v>
      </c>
      <c r="W206" s="98" t="str">
        <f t="shared" si="106"/>
        <v>1-0.00324107276216991i</v>
      </c>
      <c r="X206" s="160">
        <f t="shared" si="116"/>
        <v>1.0000052522625318</v>
      </c>
      <c r="Y206" s="160">
        <f t="shared" si="117"/>
        <v>-3.2410614135682798E-3</v>
      </c>
      <c r="Z206" s="98" t="str">
        <f t="shared" si="107"/>
        <v>0.999769824025065-0.022191016502245i</v>
      </c>
      <c r="AA206" s="160">
        <f t="shared" si="118"/>
        <v>1.0000160709931178</v>
      </c>
      <c r="AB206" s="160">
        <f t="shared" si="119"/>
        <v>-2.2192481487360038E-2</v>
      </c>
      <c r="AC206" s="171" t="str">
        <f t="shared" si="120"/>
        <v>0.00322042904150695-0.158612054286293i</v>
      </c>
      <c r="AD206" s="190">
        <f t="shared" si="121"/>
        <v>-15.991486213170784</v>
      </c>
      <c r="AE206" s="169">
        <f t="shared" si="122"/>
        <v>-88.83683718734315</v>
      </c>
      <c r="AF206" s="98" t="str">
        <f t="shared" si="108"/>
        <v>-0.0000119284294234592</v>
      </c>
      <c r="AG206" s="98" t="str">
        <f t="shared" si="109"/>
        <v>0.0000267016732768063i</v>
      </c>
      <c r="AH206" s="98">
        <f t="shared" si="123"/>
        <v>2.67016732768063E-5</v>
      </c>
      <c r="AI206" s="98">
        <f t="shared" si="124"/>
        <v>1.5707963267948966</v>
      </c>
      <c r="AJ206" s="98" t="str">
        <f t="shared" si="110"/>
        <v>1+0.0230597528244821i</v>
      </c>
      <c r="AK206" s="98">
        <f t="shared" si="125"/>
        <v>1.0002658407645071</v>
      </c>
      <c r="AL206" s="98">
        <f t="shared" si="126"/>
        <v>2.3055666769962853E-2</v>
      </c>
      <c r="AM206" s="98" t="str">
        <f t="shared" si="111"/>
        <v>1+58.7206123969608i</v>
      </c>
      <c r="AN206" s="98">
        <f t="shared" si="127"/>
        <v>58.729126677263878</v>
      </c>
      <c r="AO206" s="98">
        <f t="shared" si="128"/>
        <v>1.5537681776545054</v>
      </c>
      <c r="AP206" s="168" t="str">
        <f t="shared" si="129"/>
        <v>-26.2080015710242+1.05107969821702i</v>
      </c>
      <c r="AQ206" s="98">
        <f t="shared" si="130"/>
        <v>28.37565785449803</v>
      </c>
      <c r="AR206" s="169">
        <f t="shared" si="131"/>
        <v>177.70336652155737</v>
      </c>
      <c r="AS206" s="168" t="str">
        <f t="shared" si="132"/>
        <v>0.0823129007736323+4.16028989550362i</v>
      </c>
      <c r="AT206" s="190">
        <f t="shared" si="133"/>
        <v>12.384171641327249</v>
      </c>
      <c r="AU206" s="169">
        <f t="shared" si="134"/>
        <v>88.866529334214221</v>
      </c>
      <c r="AV206" s="225"/>
      <c r="AX206">
        <f t="shared" si="135"/>
        <v>0</v>
      </c>
      <c r="AY206">
        <f t="shared" si="136"/>
        <v>0</v>
      </c>
    </row>
    <row r="207" spans="14:51" x14ac:dyDescent="0.2">
      <c r="N207" s="170">
        <v>89</v>
      </c>
      <c r="O207" s="199">
        <f t="shared" si="137"/>
        <v>776.24711662869231</v>
      </c>
      <c r="P207" s="189" t="str">
        <f t="shared" si="103"/>
        <v>771.276595744681</v>
      </c>
      <c r="Q207" s="160" t="str">
        <f t="shared" si="104"/>
        <v>1+4974.85056750076i</v>
      </c>
      <c r="R207" s="160">
        <f t="shared" si="112"/>
        <v>4974.8506680062901</v>
      </c>
      <c r="S207" s="160">
        <f t="shared" si="113"/>
        <v>1.5705953157347727</v>
      </c>
      <c r="T207" s="160" t="str">
        <f t="shared" si="105"/>
        <v>1+0.00117055307470606i</v>
      </c>
      <c r="U207" s="160">
        <f t="shared" si="114"/>
        <v>1.0000006850970158</v>
      </c>
      <c r="V207" s="160">
        <f t="shared" si="115"/>
        <v>1.1705525400780377E-3</v>
      </c>
      <c r="W207" s="98" t="str">
        <f t="shared" si="106"/>
        <v>1-0.0033165670450005i</v>
      </c>
      <c r="X207" s="160">
        <f t="shared" si="116"/>
        <v>1.0000054997933581</v>
      </c>
      <c r="Y207" s="160">
        <f t="shared" si="117"/>
        <v>-3.3165548847583779E-3</v>
      </c>
      <c r="Z207" s="98" t="str">
        <f t="shared" si="107"/>
        <v>0.99975897616557-0.0227079116783339i</v>
      </c>
      <c r="AA207" s="160">
        <f t="shared" si="118"/>
        <v>1.0000168296965906</v>
      </c>
      <c r="AB207" s="160">
        <f t="shared" si="119"/>
        <v>-2.2709481424864703E-2</v>
      </c>
      <c r="AC207" s="171" t="str">
        <f t="shared" si="120"/>
        <v>0.00321895973116298-0.155000053595229i</v>
      </c>
      <c r="AD207" s="190">
        <f t="shared" si="121"/>
        <v>-16.191490376968709</v>
      </c>
      <c r="AE207" s="169">
        <f t="shared" si="122"/>
        <v>-88.810282351219328</v>
      </c>
      <c r="AF207" s="98" t="str">
        <f t="shared" si="108"/>
        <v>-0.0000119284294234592</v>
      </c>
      <c r="AG207" s="98" t="str">
        <f t="shared" si="109"/>
        <v>0.0000273236351463262i</v>
      </c>
      <c r="AH207" s="98">
        <f t="shared" si="123"/>
        <v>2.7323635146326202E-5</v>
      </c>
      <c r="AI207" s="98">
        <f t="shared" si="124"/>
        <v>1.5707963267948966</v>
      </c>
      <c r="AJ207" s="98" t="str">
        <f t="shared" si="110"/>
        <v>1+0.0235968834690189i</v>
      </c>
      <c r="AK207" s="98">
        <f t="shared" si="125"/>
        <v>1.0002783677104341</v>
      </c>
      <c r="AL207" s="98">
        <f t="shared" si="126"/>
        <v>2.3592505248522879E-2</v>
      </c>
      <c r="AM207" s="98" t="str">
        <f t="shared" si="111"/>
        <v>1+60.0883911682444i</v>
      </c>
      <c r="AN207" s="98">
        <f t="shared" si="127"/>
        <v>60.096711667011803</v>
      </c>
      <c r="AO207" s="98">
        <f t="shared" si="128"/>
        <v>1.55415571326679</v>
      </c>
      <c r="AP207" s="168" t="str">
        <f t="shared" si="129"/>
        <v>-26.2073451454262+1.05497252085226i</v>
      </c>
      <c r="AQ207" s="98">
        <f t="shared" si="130"/>
        <v>28.375492405003911</v>
      </c>
      <c r="AR207" s="169">
        <f t="shared" si="131"/>
        <v>177.69481209745058</v>
      </c>
      <c r="AS207" s="168" t="str">
        <f t="shared" si="132"/>
        <v>0.0791604085897776+4.06553581619183i</v>
      </c>
      <c r="AT207" s="190">
        <f t="shared" si="133"/>
        <v>12.184002028035199</v>
      </c>
      <c r="AU207" s="169">
        <f t="shared" si="134"/>
        <v>88.884529746231252</v>
      </c>
      <c r="AV207" s="225"/>
      <c r="AX207">
        <f t="shared" si="135"/>
        <v>0</v>
      </c>
      <c r="AY207">
        <f t="shared" si="136"/>
        <v>0</v>
      </c>
    </row>
    <row r="208" spans="14:51" x14ac:dyDescent="0.2">
      <c r="N208" s="170">
        <v>90</v>
      </c>
      <c r="O208" s="199">
        <f t="shared" si="137"/>
        <v>794.32823472428208</v>
      </c>
      <c r="P208" s="189" t="str">
        <f t="shared" si="103"/>
        <v>771.276595744681</v>
      </c>
      <c r="Q208" s="160" t="str">
        <f t="shared" si="104"/>
        <v>1+5090.72972336746i</v>
      </c>
      <c r="R208" s="160">
        <f t="shared" si="112"/>
        <v>5090.7298215852061</v>
      </c>
      <c r="S208" s="160">
        <f t="shared" si="113"/>
        <v>1.5705998913050006</v>
      </c>
      <c r="T208" s="160" t="str">
        <f t="shared" si="105"/>
        <v>1+0.0011978187584394i</v>
      </c>
      <c r="U208" s="160">
        <f t="shared" si="114"/>
        <v>1.0000007173846317</v>
      </c>
      <c r="V208" s="160">
        <f t="shared" si="115"/>
        <v>1.1978181855751753E-3</v>
      </c>
      <c r="W208" s="98" t="str">
        <f t="shared" si="106"/>
        <v>1-0.0033938198155783i</v>
      </c>
      <c r="X208" s="160">
        <f t="shared" si="116"/>
        <v>1.0000057589898872</v>
      </c>
      <c r="Y208" s="160">
        <f t="shared" si="117"/>
        <v>-3.3938067856481625E-3</v>
      </c>
      <c r="Z208" s="98" t="str">
        <f t="shared" si="107"/>
        <v>0.999747617062208-0.0232368468897694i</v>
      </c>
      <c r="AA208" s="160">
        <f t="shared" si="118"/>
        <v>1.0000176242821632</v>
      </c>
      <c r="AB208" s="160">
        <f t="shared" si="119"/>
        <v>-2.323852888855641E-2</v>
      </c>
      <c r="AC208" s="171" t="str">
        <f t="shared" si="120"/>
        <v>0.00321755649338889-0.15147023592377i</v>
      </c>
      <c r="AD208" s="190">
        <f t="shared" si="121"/>
        <v>-16.391494738848348</v>
      </c>
      <c r="AE208" s="169">
        <f t="shared" si="122"/>
        <v>-88.78309632671828</v>
      </c>
      <c r="AF208" s="98" t="str">
        <f t="shared" si="108"/>
        <v>-0.0000119284294234592</v>
      </c>
      <c r="AG208" s="98" t="str">
        <f t="shared" si="109"/>
        <v>0.0000279600843688717i</v>
      </c>
      <c r="AH208" s="98">
        <f t="shared" si="123"/>
        <v>2.7960084368871701E-5</v>
      </c>
      <c r="AI208" s="98">
        <f t="shared" si="124"/>
        <v>1.5707963267948966</v>
      </c>
      <c r="AJ208" s="98" t="str">
        <f t="shared" si="110"/>
        <v>1+0.0241465254935126i</v>
      </c>
      <c r="AK208" s="98">
        <f t="shared" si="125"/>
        <v>1.0002914848649911</v>
      </c>
      <c r="AL208" s="98">
        <f t="shared" si="126"/>
        <v>2.4141834219558685E-2</v>
      </c>
      <c r="AM208" s="98" t="str">
        <f t="shared" si="111"/>
        <v>1+61.4880295998893i</v>
      </c>
      <c r="AN208" s="98">
        <f t="shared" si="127"/>
        <v>61.496160726315779</v>
      </c>
      <c r="AO208" s="98">
        <f t="shared" si="128"/>
        <v>1.554534432321856</v>
      </c>
      <c r="AP208" s="168" t="str">
        <f t="shared" si="129"/>
        <v>-26.2066578186859+1.05942324434165i</v>
      </c>
      <c r="AQ208" s="98">
        <f t="shared" si="130"/>
        <v>28.375324381821319</v>
      </c>
      <c r="AR208" s="169">
        <f t="shared" si="131"/>
        <v>177.6850368693224</v>
      </c>
      <c r="AS208" s="168" t="str">
        <f t="shared" si="132"/>
        <v>0.076149686729022+3.97293739670894i</v>
      </c>
      <c r="AT208" s="190">
        <f t="shared" si="133"/>
        <v>11.983829642972958</v>
      </c>
      <c r="AU208" s="169">
        <f t="shared" si="134"/>
        <v>88.901940542604152</v>
      </c>
      <c r="AV208" s="225"/>
      <c r="AX208">
        <f t="shared" si="135"/>
        <v>0</v>
      </c>
      <c r="AY208">
        <f t="shared" si="136"/>
        <v>0</v>
      </c>
    </row>
    <row r="209" spans="14:51" x14ac:dyDescent="0.2">
      <c r="N209" s="170">
        <v>91</v>
      </c>
      <c r="O209" s="199">
        <f t="shared" si="137"/>
        <v>812.83051616409978</v>
      </c>
      <c r="P209" s="189" t="str">
        <f t="shared" si="103"/>
        <v>771.276595744681</v>
      </c>
      <c r="Q209" s="160" t="str">
        <f t="shared" si="104"/>
        <v>1+5209.30805151726i</v>
      </c>
      <c r="R209" s="160">
        <f t="shared" si="112"/>
        <v>5209.308147499296</v>
      </c>
      <c r="S209" s="160">
        <f t="shared" si="113"/>
        <v>1.5706043627225426</v>
      </c>
      <c r="T209" s="160" t="str">
        <f t="shared" si="105"/>
        <v>1+0.00122571954153347i</v>
      </c>
      <c r="U209" s="160">
        <f t="shared" si="114"/>
        <v>1.0000007511939151</v>
      </c>
      <c r="V209" s="160">
        <f t="shared" si="115"/>
        <v>1.2257189276984187E-3</v>
      </c>
      <c r="W209" s="98" t="str">
        <f t="shared" si="106"/>
        <v>1-0.00347287203434483i</v>
      </c>
      <c r="X209" s="160">
        <f t="shared" si="116"/>
        <v>1.0000060304019007</v>
      </c>
      <c r="Y209" s="160">
        <f t="shared" si="117"/>
        <v>-3.4728580725276893E-3</v>
      </c>
      <c r="Z209" s="98" t="str">
        <f t="shared" si="107"/>
        <v>0.999735722620797-0.0237781025850018i</v>
      </c>
      <c r="AA209" s="160">
        <f t="shared" si="118"/>
        <v>1.0000184564530148</v>
      </c>
      <c r="AB209" s="160">
        <f t="shared" si="119"/>
        <v>-2.3779904862427096E-2</v>
      </c>
      <c r="AC209" s="171" t="str">
        <f t="shared" si="120"/>
        <v>0.00321621635161644-0.148020729715217i</v>
      </c>
      <c r="AD209" s="190">
        <f t="shared" si="121"/>
        <v>-16.591499308215386</v>
      </c>
      <c r="AE209" s="169">
        <f t="shared" si="122"/>
        <v>-88.755264671973606</v>
      </c>
      <c r="AF209" s="98" t="str">
        <f t="shared" si="108"/>
        <v>-0.0000119284294234592</v>
      </c>
      <c r="AG209" s="98" t="str">
        <f t="shared" si="109"/>
        <v>0.0000286113583982451i</v>
      </c>
      <c r="AH209" s="98">
        <f t="shared" si="123"/>
        <v>2.86113583982451E-5</v>
      </c>
      <c r="AI209" s="98">
        <f t="shared" si="124"/>
        <v>1.5707963267948966</v>
      </c>
      <c r="AJ209" s="98" t="str">
        <f t="shared" si="110"/>
        <v>1+0.02470897032544i</v>
      </c>
      <c r="AK209" s="98">
        <f t="shared" si="125"/>
        <v>1.000305220027639</v>
      </c>
      <c r="AL209" s="98">
        <f t="shared" si="126"/>
        <v>2.4703943617667843E-2</v>
      </c>
      <c r="AM209" s="98" t="str">
        <f t="shared" si="111"/>
        <v>1+62.9202697987182i</v>
      </c>
      <c r="AN209" s="98">
        <f t="shared" si="127"/>
        <v>62.928215861753856</v>
      </c>
      <c r="AO209" s="98">
        <f t="shared" si="128"/>
        <v>1.5549045351867576</v>
      </c>
      <c r="AP209" s="168" t="str">
        <f t="shared" si="129"/>
        <v>-26.2059381378742+1.06443412425549i</v>
      </c>
      <c r="AQ209" s="98">
        <f t="shared" si="130"/>
        <v>28.375153429056713</v>
      </c>
      <c r="AR209" s="169">
        <f t="shared" si="131"/>
        <v>177.67403570533071</v>
      </c>
      <c r="AS209" s="168" t="str">
        <f t="shared" si="132"/>
        <v>0.0732743490575957+3.88244553647562i</v>
      </c>
      <c r="AT209" s="190">
        <f t="shared" si="133"/>
        <v>11.783654120841319</v>
      </c>
      <c r="AU209" s="169">
        <f t="shared" si="134"/>
        <v>88.918771033357089</v>
      </c>
      <c r="AV209" s="225"/>
      <c r="AX209">
        <f t="shared" si="135"/>
        <v>0</v>
      </c>
      <c r="AY209">
        <f t="shared" si="136"/>
        <v>0</v>
      </c>
    </row>
    <row r="210" spans="14:51" x14ac:dyDescent="0.2">
      <c r="N210" s="170">
        <v>92</v>
      </c>
      <c r="O210" s="199">
        <f t="shared" si="137"/>
        <v>831.7637711026714</v>
      </c>
      <c r="P210" s="189" t="str">
        <f t="shared" si="103"/>
        <v>771.276595744681</v>
      </c>
      <c r="Q210" s="160" t="str">
        <f t="shared" si="104"/>
        <v>1+5330.64842374932i</v>
      </c>
      <c r="R210" s="160">
        <f t="shared" si="112"/>
        <v>5330.6485175465377</v>
      </c>
      <c r="S210" s="160">
        <f t="shared" si="113"/>
        <v>1.5706087323582021</v>
      </c>
      <c r="T210" s="160" t="str">
        <f t="shared" si="105"/>
        <v>1+0.00125427021735278i</v>
      </c>
      <c r="U210" s="160">
        <f t="shared" si="114"/>
        <v>1.0000007865965796</v>
      </c>
      <c r="V210" s="160">
        <f t="shared" si="115"/>
        <v>1.2542695596167001E-3</v>
      </c>
      <c r="W210" s="98" t="str">
        <f t="shared" si="106"/>
        <v>1-0.00355376561583288i</v>
      </c>
      <c r="X210" s="160">
        <f t="shared" si="116"/>
        <v>1.000006314605089</v>
      </c>
      <c r="Y210" s="160">
        <f t="shared" si="117"/>
        <v>-3.5537506554813793E-3</v>
      </c>
      <c r="Z210" s="98" t="str">
        <f t="shared" si="107"/>
        <v>0.999723267611632-0.0243319657449652i</v>
      </c>
      <c r="AA210" s="160">
        <f t="shared" si="118"/>
        <v>1.0000193279937608</v>
      </c>
      <c r="AB210" s="160">
        <f t="shared" si="119"/>
        <v>-2.4333896901229866E-2</v>
      </c>
      <c r="AC210" s="171" t="str">
        <f t="shared" si="120"/>
        <v>0.00321493646310149-0.144649705994779i</v>
      </c>
      <c r="AD210" s="190">
        <f t="shared" si="121"/>
        <v>-16.791504094930477</v>
      </c>
      <c r="AE210" s="169">
        <f t="shared" si="122"/>
        <v>-88.726772600833499</v>
      </c>
      <c r="AF210" s="98" t="str">
        <f t="shared" si="108"/>
        <v>-0.0000119284294234592</v>
      </c>
      <c r="AG210" s="98" t="str">
        <f t="shared" si="109"/>
        <v>0.0000292778025485573i</v>
      </c>
      <c r="AH210" s="98">
        <f t="shared" si="123"/>
        <v>2.9277802548557298E-5</v>
      </c>
      <c r="AI210" s="98">
        <f t="shared" si="124"/>
        <v>1.5707963267948966</v>
      </c>
      <c r="AJ210" s="98" t="str">
        <f t="shared" si="110"/>
        <v>1+0.0252845161804959i</v>
      </c>
      <c r="AK210" s="98">
        <f t="shared" si="125"/>
        <v>1.0003196023064238</v>
      </c>
      <c r="AL210" s="98">
        <f t="shared" si="126"/>
        <v>2.5279130059015605E-2</v>
      </c>
      <c r="AM210" s="98" t="str">
        <f t="shared" si="111"/>
        <v>1+64.3858711574428i</v>
      </c>
      <c r="AN210" s="98">
        <f t="shared" si="127"/>
        <v>64.393636368066879</v>
      </c>
      <c r="AO210" s="98">
        <f t="shared" si="128"/>
        <v>1.5552662176891388</v>
      </c>
      <c r="AP210" s="168" t="str">
        <f t="shared" si="129"/>
        <v>-26.2051845819152+1.07000770572469i</v>
      </c>
      <c r="AQ210" s="98">
        <f t="shared" si="130"/>
        <v>28.374979184634253</v>
      </c>
      <c r="AR210" s="169">
        <f t="shared" si="131"/>
        <v>177.66180283071847</v>
      </c>
      <c r="AS210" s="168" t="str">
        <f t="shared" si="132"/>
        <v>0.0705282966105202+3.79401225210188i</v>
      </c>
      <c r="AT210" s="190">
        <f t="shared" si="133"/>
        <v>11.583475089703764</v>
      </c>
      <c r="AU210" s="169">
        <f t="shared" si="134"/>
        <v>88.935030229885001</v>
      </c>
      <c r="AV210" s="225"/>
      <c r="AX210">
        <f t="shared" si="135"/>
        <v>0</v>
      </c>
      <c r="AY210">
        <f t="shared" si="136"/>
        <v>0</v>
      </c>
    </row>
    <row r="211" spans="14:51" x14ac:dyDescent="0.2">
      <c r="N211" s="170">
        <v>93</v>
      </c>
      <c r="O211" s="199">
        <f t="shared" si="137"/>
        <v>851.13803820237763</v>
      </c>
      <c r="P211" s="189" t="str">
        <f t="shared" ref="P211:P274" si="138">COMPLEX(Adc,0)</f>
        <v>771.276595744681</v>
      </c>
      <c r="Q211" s="160" t="str">
        <f t="shared" ref="Q211:Q274" si="139">IMSUM(COMPLEX(1,0),IMDIV(COMPLEX(0,2*PI()*O211),COMPLEX(wp_lf,0)))</f>
        <v>1+5454.81517633514i</v>
      </c>
      <c r="R211" s="160">
        <f t="shared" si="112"/>
        <v>5454.8152679972727</v>
      </c>
      <c r="S211" s="160">
        <f t="shared" si="113"/>
        <v>1.5706130025288179</v>
      </c>
      <c r="T211" s="160" t="str">
        <f t="shared" ref="T211:T274" si="140">IMSUM(COMPLEX(1,0),IMDIV(COMPLEX(0,2*PI()*O211),COMPLEX(wz_esr,0)))</f>
        <v>1+0.00128348592384356i</v>
      </c>
      <c r="U211" s="160">
        <f t="shared" si="114"/>
        <v>1.0000008236677191</v>
      </c>
      <c r="V211" s="160">
        <f t="shared" si="115"/>
        <v>1.2834852190666841E-3</v>
      </c>
      <c r="W211" s="98" t="str">
        <f t="shared" ref="W211:W274" si="141">IMSUB(COMPLEX(1,0),IMDIV(COMPLEX(0,2*PI()*O211),COMPLEX(wz_rhp,0)))</f>
        <v>1-0.00363654345089009i</v>
      </c>
      <c r="X211" s="160">
        <f t="shared" si="116"/>
        <v>1.0000066122022746</v>
      </c>
      <c r="Y211" s="160">
        <f t="shared" si="117"/>
        <v>-3.6365274205903686E-3</v>
      </c>
      <c r="Z211" s="98" t="str">
        <f t="shared" ref="Z211:Z274" si="142">IF(Dc_Mode_Loop="CCM",IMSUM(COMPLEX(1,0),IMDIV(COMPLEX(0,2*PI()*O211),COMPLEX(Q*(wsl/2),0)),IMDIV(IMPOWER(COMPLEX(0,2*PI()*O211),2),IMPOWER(COMPLEX(wsl/2,0),2))),COMPLEX(1,0))</f>
        <v>0.99971022561597-0.0248987300352383i</v>
      </c>
      <c r="AA211" s="160">
        <f t="shared" si="118"/>
        <v>1.0000202407744061</v>
      </c>
      <c r="AB211" s="160">
        <f t="shared" si="119"/>
        <v>-2.4900799285374402E-2</v>
      </c>
      <c r="AC211" s="171" t="str">
        <f t="shared" si="120"/>
        <v>0.00321371411289303-0.141355377399821i</v>
      </c>
      <c r="AD211" s="190">
        <f t="shared" si="121"/>
        <v>-16.991509109331702</v>
      </c>
      <c r="AE211" s="169">
        <f t="shared" si="122"/>
        <v>-88.697604974880505</v>
      </c>
      <c r="AF211" s="98" t="str">
        <f t="shared" ref="AF211:AF274" si="143">COMPLEX(Adc_ea,0)</f>
        <v>-0.0000119284294234592</v>
      </c>
      <c r="AG211" s="98" t="str">
        <f t="shared" ref="AG211:AG274" si="144">COMPLEX(0,2*PI()*O211*wp0_ea)</f>
        <v>0.0000299597701773183i</v>
      </c>
      <c r="AH211" s="98">
        <f t="shared" si="123"/>
        <v>2.9959770177318299E-5</v>
      </c>
      <c r="AI211" s="98">
        <f t="shared" si="124"/>
        <v>1.5707963267948966</v>
      </c>
      <c r="AJ211" s="98" t="str">
        <f t="shared" ref="AJ211:AJ274" si="145">IMSUM(COMPLEX(1,0),IMDIV(COMPLEX(0,2*PI()*O211),COMPLEX(wp1_ea,0)))</f>
        <v>1+0.0258734682207108i</v>
      </c>
      <c r="AK211" s="98">
        <f t="shared" si="125"/>
        <v>1.0003346621794968</v>
      </c>
      <c r="AL211" s="98">
        <f t="shared" si="126"/>
        <v>2.5867696991839606E-2</v>
      </c>
      <c r="AM211" s="98" t="str">
        <f t="shared" ref="AM211:AM274" si="146">IMSUM(COMPLEX(1,0),IMDIV(COMPLEX(0,2*PI()*O211),COMPLEX(wz_ea,0)))</f>
        <v>1+65.8856107573028i</v>
      </c>
      <c r="AN211" s="98">
        <f t="shared" si="127"/>
        <v>65.89319923074622</v>
      </c>
      <c r="AO211" s="98">
        <f t="shared" si="128"/>
        <v>1.5556196712191259</v>
      </c>
      <c r="AP211" s="168" t="str">
        <f t="shared" si="129"/>
        <v>-26.2043955584055+1.07614682425982i</v>
      </c>
      <c r="AQ211" s="98">
        <f t="shared" si="130"/>
        <v>28.374801279532139</v>
      </c>
      <c r="AR211" s="169">
        <f t="shared" si="131"/>
        <v>177.64833182502898</v>
      </c>
      <c r="AS211" s="168" t="str">
        <f t="shared" si="132"/>
        <v>0.0679057046549865+3.70759065192927i</v>
      </c>
      <c r="AT211" s="190">
        <f t="shared" si="133"/>
        <v>11.383292170200436</v>
      </c>
      <c r="AU211" s="169">
        <f t="shared" si="134"/>
        <v>88.95072685014847</v>
      </c>
      <c r="AV211" s="225"/>
      <c r="AX211">
        <f t="shared" si="135"/>
        <v>0</v>
      </c>
      <c r="AY211">
        <f t="shared" si="136"/>
        <v>0</v>
      </c>
    </row>
    <row r="212" spans="14:51" x14ac:dyDescent="0.2">
      <c r="N212" s="170">
        <v>94</v>
      </c>
      <c r="O212" s="199">
        <f t="shared" si="137"/>
        <v>870.96358995608091</v>
      </c>
      <c r="P212" s="189" t="str">
        <f t="shared" si="138"/>
        <v>771.276595744681</v>
      </c>
      <c r="Q212" s="160" t="str">
        <f t="shared" si="139"/>
        <v>1+5581.87414413044i</v>
      </c>
      <c r="R212" s="160">
        <f t="shared" ref="R212:R275" si="147">IMABS(Q212)</f>
        <v>5581.8742337060885</v>
      </c>
      <c r="S212" s="160">
        <f t="shared" ref="S212:S275" si="148">IMARGUMENT(Q212)</f>
        <v>1.5706171754984897</v>
      </c>
      <c r="T212" s="160" t="str">
        <f t="shared" si="140"/>
        <v>1+0.0013133821515601i</v>
      </c>
      <c r="U212" s="160">
        <f t="shared" ref="U212:U275" si="149">IMABS(T212)</f>
        <v>1.000000862485966</v>
      </c>
      <c r="V212" s="160">
        <f t="shared" ref="V212:V275" si="150">IMARGUMENT(T212)</f>
        <v>1.3133813963781067E-3</v>
      </c>
      <c r="W212" s="98" t="str">
        <f t="shared" si="141"/>
        <v>1-0.00372124942942029i</v>
      </c>
      <c r="X212" s="160">
        <f t="shared" ref="X212:X275" si="151">IMABS(W212)</f>
        <v>1.0000069238246883</v>
      </c>
      <c r="Y212" s="160">
        <f t="shared" ref="Y212:Y275" si="152">IMARGUMENT(W212)</f>
        <v>-3.7212322526510929E-3</v>
      </c>
      <c r="Z212" s="98" t="str">
        <f t="shared" si="142"/>
        <v>0.999696568969988-0.0254786959617496i</v>
      </c>
      <c r="AA212" s="160">
        <f t="shared" ref="AA212:AA275" si="153">IMABS(Z212)</f>
        <v>1.0000211967544874</v>
      </c>
      <c r="AB212" s="160">
        <f t="shared" ref="AB212:AB275" si="154">IMARGUMENT(Z212)</f>
        <v>-2.5480913179562109E-2</v>
      </c>
      <c r="AC212" s="171" t="str">
        <f t="shared" ref="AC212:AC275" si="155">(IMDIV(IMPRODUCT(P212,T212,W212),IMPRODUCT(Q212,Z212)))</f>
        <v>0.00321254670807337-0.13813599723218i</v>
      </c>
      <c r="AD212" s="190">
        <f t="shared" ref="AD212:AD275" si="156">20*LOG(IMABS(AC212))</f>
        <v>-17.191514362257706</v>
      </c>
      <c r="AE212" s="169">
        <f t="shared" ref="AE212:AE275" si="157">(180/PI())*IMARGUMENT(AC212)</f>
        <v>-88.667746295254801</v>
      </c>
      <c r="AF212" s="98" t="str">
        <f t="shared" si="143"/>
        <v>-0.0000119284294234592</v>
      </c>
      <c r="AG212" s="98" t="str">
        <f t="shared" si="144"/>
        <v>0.0000306576228727917i</v>
      </c>
      <c r="AH212" s="98">
        <f t="shared" ref="AH212:AH275" si="158">IMABS(AG212)</f>
        <v>3.0657622872791703E-5</v>
      </c>
      <c r="AI212" s="98">
        <f t="shared" ref="AI212:AI275" si="159">IMARGUMENT(AG212)</f>
        <v>1.5707963267948966</v>
      </c>
      <c r="AJ212" s="98" t="str">
        <f t="shared" si="145"/>
        <v>1+0.0264761387162521i</v>
      </c>
      <c r="AK212" s="98">
        <f t="shared" ref="AK212:AK275" si="160">IMABS(AJ212)</f>
        <v>1.0003504315595222</v>
      </c>
      <c r="AL212" s="98">
        <f t="shared" ref="AL212:AL275" si="161">IMARGUMENT(AJ212)</f>
        <v>2.6469954850095324E-2</v>
      </c>
      <c r="AM212" s="98" t="str">
        <f t="shared" si="146"/>
        <v>1+67.4202837800853i</v>
      </c>
      <c r="AN212" s="98">
        <f t="shared" ref="AN212:AN275" si="162">IMABS(AM212)</f>
        <v>67.427699538003168</v>
      </c>
      <c r="AO212" s="98">
        <f t="shared" ref="AO212:AO275" si="163">IMARGUMENT(AM212)</f>
        <v>1.5559650828290028</v>
      </c>
      <c r="AP212" s="168" t="str">
        <f t="shared" ref="AP212:AP275" si="164">IMPRODUCT(AF212,IMDIV(AM212,IMPRODUCT(AG212,AJ212)))</f>
        <v>-26.2035694002877+1.08285460668642i</v>
      </c>
      <c r="AQ212" s="98">
        <f t="shared" ref="AQ212:AQ275" si="165">20*LOG(IMABS(AP212))</f>
        <v>28.374619337004923</v>
      </c>
      <c r="AR212" s="169">
        <f t="shared" ref="AR212:AR275" si="166">(180/PI())*IMARGUMENT(AP212)</f>
        <v>177.63361561901311</v>
      </c>
      <c r="AS212" s="168" t="str">
        <f t="shared" ref="AS212:AS275" si="167">IMPRODUCT(AC212,AP212)</f>
        <v>0.0654010103354223+3.62313491115341i</v>
      </c>
      <c r="AT212" s="190">
        <f t="shared" ref="AT212:AT275" si="168">20*LOG(IMABS(AS212))</f>
        <v>11.183104974747216</v>
      </c>
      <c r="AU212" s="169">
        <f t="shared" ref="AU212:AU275" si="169">(180/PI())*IMARGUMENT(AS212)</f>
        <v>88.965869323758326</v>
      </c>
      <c r="AV212" s="225"/>
      <c r="AX212">
        <f t="shared" ref="AX212:AX275" si="170">SUM((AT213&lt;0)*(AT212&gt;0))*O212</f>
        <v>0</v>
      </c>
      <c r="AY212">
        <f t="shared" ref="AY212:AY275" si="171">IF(AX212&gt;0,AU212,0)</f>
        <v>0</v>
      </c>
    </row>
    <row r="213" spans="14:51" x14ac:dyDescent="0.2">
      <c r="N213" s="170">
        <v>95</v>
      </c>
      <c r="O213" s="199">
        <f t="shared" si="137"/>
        <v>891.25093813374656</v>
      </c>
      <c r="P213" s="189" t="str">
        <f t="shared" si="138"/>
        <v>771.276595744681</v>
      </c>
      <c r="Q213" s="160" t="str">
        <f t="shared" si="139"/>
        <v>1+5711.89269548182i</v>
      </c>
      <c r="R213" s="160">
        <f t="shared" si="147"/>
        <v>5711.8927830184775</v>
      </c>
      <c r="S213" s="160">
        <f t="shared" si="148"/>
        <v>1.570621253479781</v>
      </c>
      <c r="T213" s="160" t="str">
        <f t="shared" si="140"/>
        <v>1+0.00134397475187807i</v>
      </c>
      <c r="U213" s="160">
        <f t="shared" si="149"/>
        <v>1.000000903133659</v>
      </c>
      <c r="V213" s="160">
        <f t="shared" si="150"/>
        <v>1.3439739426860246E-3</v>
      </c>
      <c r="W213" s="98" t="str">
        <f t="shared" si="141"/>
        <v>1-0.00380792846365454i</v>
      </c>
      <c r="X213" s="160">
        <f t="shared" si="151"/>
        <v>1.0000072501333099</v>
      </c>
      <c r="Y213" s="160">
        <f t="shared" si="152"/>
        <v>-3.8079100584219507E-3</v>
      </c>
      <c r="Z213" s="98" t="str">
        <f t="shared" si="142"/>
        <v>0.99968226870611-0.0260721710301104i</v>
      </c>
      <c r="AA213" s="160">
        <f t="shared" si="153"/>
        <v>1.0000221979874337</v>
      </c>
      <c r="AB213" s="160">
        <f t="shared" si="154"/>
        <v>-2.6074546795257964E-2</v>
      </c>
      <c r="AC213" s="171" t="str">
        <f t="shared" si="155"/>
        <v>0.00321143177225679-0.13498985853203i</v>
      </c>
      <c r="AD213" s="190">
        <f t="shared" si="156"/>
        <v>-17.391519865072741</v>
      </c>
      <c r="AE213" s="169">
        <f t="shared" si="157"/>
        <v>-88.637180694275401</v>
      </c>
      <c r="AF213" s="98" t="str">
        <f t="shared" si="143"/>
        <v>-0.0000119284294234592</v>
      </c>
      <c r="AG213" s="98" t="str">
        <f t="shared" si="144"/>
        <v>0.000031371730645714i</v>
      </c>
      <c r="AH213" s="98">
        <f t="shared" si="158"/>
        <v>3.1371730645713997E-5</v>
      </c>
      <c r="AI213" s="98">
        <f t="shared" si="159"/>
        <v>1.5707963267948966</v>
      </c>
      <c r="AJ213" s="98" t="str">
        <f t="shared" si="145"/>
        <v>1+0.027092847210994i</v>
      </c>
      <c r="AK213" s="98">
        <f t="shared" si="160"/>
        <v>1.0003669438611005</v>
      </c>
      <c r="AL213" s="98">
        <f t="shared" si="161"/>
        <v>2.7086221210288999E-2</v>
      </c>
      <c r="AM213" s="98" t="str">
        <f t="shared" si="146"/>
        <v>1+68.9907039297412i</v>
      </c>
      <c r="AN213" s="98">
        <f t="shared" si="162"/>
        <v>68.997950902336285</v>
      </c>
      <c r="AO213" s="98">
        <f t="shared" si="163"/>
        <v>1.5563026353307019</v>
      </c>
      <c r="AP213" s="168" t="str">
        <f t="shared" si="164"/>
        <v>-26.2027043623692+1.09013447219442i</v>
      </c>
      <c r="AQ213" s="98">
        <f t="shared" si="165"/>
        <v>28.374432971789322</v>
      </c>
      <c r="AR213" s="169">
        <f t="shared" si="166"/>
        <v>177.61764649122958</v>
      </c>
      <c r="AS213" s="168" t="str">
        <f t="shared" si="167"/>
        <v>0.0630089008740499+3.54060024751286i</v>
      </c>
      <c r="AT213" s="190">
        <f t="shared" si="168"/>
        <v>10.982913106716577</v>
      </c>
      <c r="AU213" s="169">
        <f t="shared" si="169"/>
        <v>88.980465796954178</v>
      </c>
      <c r="AV213" s="225"/>
      <c r="AX213">
        <f t="shared" si="170"/>
        <v>0</v>
      </c>
      <c r="AY213">
        <f t="shared" si="171"/>
        <v>0</v>
      </c>
    </row>
    <row r="214" spans="14:51" x14ac:dyDescent="0.2">
      <c r="N214" s="170">
        <v>96</v>
      </c>
      <c r="O214" s="199">
        <f t="shared" si="137"/>
        <v>912.01083935590987</v>
      </c>
      <c r="P214" s="189" t="str">
        <f t="shared" si="138"/>
        <v>771.276595744681</v>
      </c>
      <c r="Q214" s="160" t="str">
        <f t="shared" si="139"/>
        <v>1+5844.93976794616i</v>
      </c>
      <c r="R214" s="160">
        <f t="shared" si="147"/>
        <v>5844.9398534902402</v>
      </c>
      <c r="S214" s="160">
        <f t="shared" si="148"/>
        <v>1.5706252386348907</v>
      </c>
      <c r="T214" s="160" t="str">
        <f t="shared" si="140"/>
        <v>1+0.0013752799453991i</v>
      </c>
      <c r="U214" s="160">
        <f t="shared" si="149"/>
        <v>1.0000009456970169</v>
      </c>
      <c r="V214" s="160">
        <f t="shared" si="150"/>
        <v>1.3752790783342461E-3</v>
      </c>
      <c r="W214" s="98" t="str">
        <f t="shared" si="141"/>
        <v>1-0.0038966265119641i</v>
      </c>
      <c r="X214" s="160">
        <f t="shared" si="151"/>
        <v>1.0000075918202689</v>
      </c>
      <c r="Y214" s="160">
        <f t="shared" si="152"/>
        <v>-3.8966067904101496E-3</v>
      </c>
      <c r="Z214" s="98" t="str">
        <f t="shared" si="142"/>
        <v>0.999667294491559-0.0266794699086572i</v>
      </c>
      <c r="AA214" s="160">
        <f t="shared" si="153"/>
        <v>1.0000232466251375</v>
      </c>
      <c r="AB214" s="160">
        <f t="shared" si="154"/>
        <v>-2.6682015557095998E-2</v>
      </c>
      <c r="AC214" s="171" t="str">
        <f t="shared" si="155"/>
        <v>0.00321036694033557-0.131915293172823i</v>
      </c>
      <c r="AD214" s="190">
        <f t="shared" si="156"/>
        <v>-17.591525629692519</v>
      </c>
      <c r="AE214" s="169">
        <f t="shared" si="157"/>
        <v>-88.605891926854326</v>
      </c>
      <c r="AF214" s="98" t="str">
        <f t="shared" si="143"/>
        <v>-0.0000119284294234592</v>
      </c>
      <c r="AG214" s="98" t="str">
        <f t="shared" si="144"/>
        <v>0.0000321024721254784i</v>
      </c>
      <c r="AH214" s="98">
        <f t="shared" si="158"/>
        <v>3.21024721254784E-5</v>
      </c>
      <c r="AI214" s="98">
        <f t="shared" si="159"/>
        <v>1.5707963267948966</v>
      </c>
      <c r="AJ214" s="98" t="str">
        <f t="shared" si="145"/>
        <v>1+0.0277239206919432i</v>
      </c>
      <c r="AK214" s="98">
        <f t="shared" si="160"/>
        <v>1.0003842340713558</v>
      </c>
      <c r="AL214" s="98">
        <f t="shared" si="161"/>
        <v>2.7716820951543656E-2</v>
      </c>
      <c r="AM214" s="98" t="str">
        <f t="shared" si="146"/>
        <v>1+70.5977038638203i</v>
      </c>
      <c r="AN214" s="98">
        <f t="shared" si="162"/>
        <v>70.60478589191861</v>
      </c>
      <c r="AO214" s="98">
        <f t="shared" si="163"/>
        <v>1.5566325073911604</v>
      </c>
      <c r="AP214" s="168" t="str">
        <f t="shared" si="164"/>
        <v>-26.2017986176822+1.09799013349926i</v>
      </c>
      <c r="AQ214" s="98">
        <f t="shared" si="165"/>
        <v>28.374241789292949</v>
      </c>
      <c r="AR214" s="169">
        <f t="shared" si="166"/>
        <v>177.6004160643372</v>
      </c>
      <c r="AS214" s="168" t="str">
        <f t="shared" si="167"/>
        <v>0.0607243023018847+3.45994289753222i</v>
      </c>
      <c r="AT214" s="190">
        <f t="shared" si="168"/>
        <v>10.782716159600438</v>
      </c>
      <c r="AU214" s="169">
        <f t="shared" si="169"/>
        <v>88.99452413748287</v>
      </c>
      <c r="AV214" s="225"/>
      <c r="AX214">
        <f t="shared" si="170"/>
        <v>0</v>
      </c>
      <c r="AY214">
        <f t="shared" si="171"/>
        <v>0</v>
      </c>
    </row>
    <row r="215" spans="14:51" x14ac:dyDescent="0.2">
      <c r="N215" s="170">
        <v>97</v>
      </c>
      <c r="O215" s="199">
        <f t="shared" si="137"/>
        <v>933.25430079699106</v>
      </c>
      <c r="P215" s="189" t="str">
        <f t="shared" si="138"/>
        <v>771.276595744681</v>
      </c>
      <c r="Q215" s="160" t="str">
        <f t="shared" si="139"/>
        <v>1+5981.08590484241i</v>
      </c>
      <c r="R215" s="160">
        <f t="shared" si="147"/>
        <v>5981.0859884392694</v>
      </c>
      <c r="S215" s="160">
        <f t="shared" si="148"/>
        <v>1.5706291330768007</v>
      </c>
      <c r="T215" s="160" t="str">
        <f t="shared" si="140"/>
        <v>1+0.00140731433055115i</v>
      </c>
      <c r="U215" s="160">
        <f t="shared" si="149"/>
        <v>1.0000009902663221</v>
      </c>
      <c r="V215" s="160">
        <f t="shared" si="150"/>
        <v>1.4073134014744699E-3</v>
      </c>
      <c r="W215" s="98" t="str">
        <f t="shared" si="141"/>
        <v>1-0.00398739060322826i</v>
      </c>
      <c r="X215" s="160">
        <f t="shared" si="151"/>
        <v>1.0000079496103131</v>
      </c>
      <c r="Y215" s="160">
        <f t="shared" si="152"/>
        <v>-3.9873694712115456E-3</v>
      </c>
      <c r="Z215" s="98" t="str">
        <f t="shared" si="142"/>
        <v>0.999651614564018-0.0273009145952942i</v>
      </c>
      <c r="AA215" s="160">
        <f t="shared" si="153"/>
        <v>1.0000243449227562</v>
      </c>
      <c r="AB215" s="160">
        <f t="shared" si="154"/>
        <v>-2.7303642273324838E-2</v>
      </c>
      <c r="AC215" s="171" t="str">
        <f t="shared" si="155"/>
        <v>0.00320934995346162-0.128910670976815i</v>
      </c>
      <c r="AD215" s="190">
        <f t="shared" si="156"/>
        <v>-17.791531668611601</v>
      </c>
      <c r="AE215" s="169">
        <f t="shared" si="157"/>
        <v>-88.573863361698557</v>
      </c>
      <c r="AF215" s="98" t="str">
        <f t="shared" si="143"/>
        <v>-0.0000119284294234592</v>
      </c>
      <c r="AG215" s="98" t="str">
        <f t="shared" si="144"/>
        <v>0.0000328502347608903i</v>
      </c>
      <c r="AH215" s="98">
        <f t="shared" si="158"/>
        <v>3.2850234760890299E-5</v>
      </c>
      <c r="AI215" s="98">
        <f t="shared" si="159"/>
        <v>1.5707963267948966</v>
      </c>
      <c r="AJ215" s="98" t="str">
        <f t="shared" si="145"/>
        <v>1+0.0283696937626129i</v>
      </c>
      <c r="AK215" s="98">
        <f t="shared" si="160"/>
        <v>1.0004023388238277</v>
      </c>
      <c r="AL215" s="98">
        <f t="shared" si="161"/>
        <v>2.8362086418946594E-2</v>
      </c>
      <c r="AM215" s="98" t="str">
        <f t="shared" si="146"/>
        <v>1+72.2421356349592i</v>
      </c>
      <c r="AN215" s="98">
        <f t="shared" si="162"/>
        <v>72.249056472038731</v>
      </c>
      <c r="AO215" s="98">
        <f t="shared" si="163"/>
        <v>1.5569548736255847</v>
      </c>
      <c r="AP215" s="168" t="str">
        <f t="shared" si="164"/>
        <v>-26.2008502536742+1.10642559811244i</v>
      </c>
      <c r="AQ215" s="98">
        <f t="shared" si="165"/>
        <v>28.374045384763029</v>
      </c>
      <c r="AR215" s="169">
        <f t="shared" si="166"/>
        <v>177.58191530107948</v>
      </c>
      <c r="AS215" s="168" t="str">
        <f t="shared" si="167"/>
        <v>0.0585423686963143+3.38112009330601i</v>
      </c>
      <c r="AT215" s="190">
        <f t="shared" si="168"/>
        <v>10.582513716151439</v>
      </c>
      <c r="AU215" s="169">
        <f t="shared" si="169"/>
        <v>89.008051939380948</v>
      </c>
      <c r="AV215" s="225"/>
      <c r="AX215">
        <f t="shared" si="170"/>
        <v>0</v>
      </c>
      <c r="AY215">
        <f t="shared" si="171"/>
        <v>0</v>
      </c>
    </row>
    <row r="216" spans="14:51" x14ac:dyDescent="0.2">
      <c r="N216" s="170">
        <v>98</v>
      </c>
      <c r="O216" s="199">
        <f t="shared" si="137"/>
        <v>954.99258602143675</v>
      </c>
      <c r="P216" s="189" t="str">
        <f t="shared" si="138"/>
        <v>771.276595744681</v>
      </c>
      <c r="Q216" s="160" t="str">
        <f t="shared" si="139"/>
        <v>1+6120.40329265444i</v>
      </c>
      <c r="R216" s="160">
        <f t="shared" si="147"/>
        <v>6120.4033743484024</v>
      </c>
      <c r="S216" s="160">
        <f t="shared" si="148"/>
        <v>1.5706329388703948</v>
      </c>
      <c r="T216" s="160" t="str">
        <f t="shared" si="140"/>
        <v>1+0.00144009489238928i</v>
      </c>
      <c r="U216" s="160">
        <f t="shared" si="149"/>
        <v>1.0000010369361119</v>
      </c>
      <c r="V216" s="160">
        <f t="shared" si="150"/>
        <v>1.4400938968657368E-3</v>
      </c>
      <c r="W216" s="98" t="str">
        <f t="shared" si="141"/>
        <v>1-0.00408026886176962i</v>
      </c>
      <c r="X216" s="160">
        <f t="shared" si="151"/>
        <v>1.0000083242623454</v>
      </c>
      <c r="Y216" s="160">
        <f t="shared" si="152"/>
        <v>-4.0802462184159321E-3</v>
      </c>
      <c r="Z216" s="98" t="str">
        <f t="shared" si="142"/>
        <v>0.999635195664258-0.0279368345882199i</v>
      </c>
      <c r="AA216" s="160">
        <f t="shared" si="153"/>
        <v>1.0000254952437608</v>
      </c>
      <c r="AB216" s="160">
        <f t="shared" si="154"/>
        <v>-2.7939757310394438E-2</v>
      </c>
      <c r="AC216" s="171" t="str">
        <f t="shared" si="155"/>
        <v>0.00320837865425359-0.125974398850715i</v>
      </c>
      <c r="AD216" s="190">
        <f t="shared" si="156"/>
        <v>-17.991537994931981</v>
      </c>
      <c r="AE216" s="169">
        <f t="shared" si="157"/>
        <v>-88.541077972293749</v>
      </c>
      <c r="AF216" s="98" t="str">
        <f t="shared" si="143"/>
        <v>-0.0000119284294234592</v>
      </c>
      <c r="AG216" s="98" t="str">
        <f t="shared" si="144"/>
        <v>0.0000336154150255967i</v>
      </c>
      <c r="AH216" s="98">
        <f t="shared" si="158"/>
        <v>3.3615415025596703E-5</v>
      </c>
      <c r="AI216" s="98">
        <f t="shared" si="159"/>
        <v>1.5707963267948966</v>
      </c>
      <c r="AJ216" s="98" t="str">
        <f t="shared" si="145"/>
        <v>1+0.0290305088204329i</v>
      </c>
      <c r="AK216" s="98">
        <f t="shared" si="160"/>
        <v>1.0004212964758263</v>
      </c>
      <c r="AL216" s="98">
        <f t="shared" si="161"/>
        <v>2.902235759021864E-2</v>
      </c>
      <c r="AM216" s="98" t="str">
        <f t="shared" si="146"/>
        <v>1+73.9248711426496i</v>
      </c>
      <c r="AN216" s="98">
        <f t="shared" si="162"/>
        <v>73.931634456823318</v>
      </c>
      <c r="AO216" s="98">
        <f t="shared" si="163"/>
        <v>1.5572699046886629</v>
      </c>
      <c r="AP216" s="168" t="str">
        <f t="shared" si="164"/>
        <v>-26.1998572682256+1.11544516971873i</v>
      </c>
      <c r="AQ216" s="98">
        <f t="shared" si="165"/>
        <v>28.373843342434753</v>
      </c>
      <c r="AR216" s="169">
        <f t="shared" si="166"/>
        <v>177.56213449996136</v>
      </c>
      <c r="AS216" s="168" t="str">
        <f t="shared" si="167"/>
        <v>0.056458471902385+3.30409003981177i</v>
      </c>
      <c r="AT216" s="190">
        <f t="shared" si="168"/>
        <v>10.382305347502765</v>
      </c>
      <c r="AU216" s="169">
        <f t="shared" si="169"/>
        <v>89.021056527667625</v>
      </c>
      <c r="AV216" s="225"/>
      <c r="AX216">
        <f t="shared" si="170"/>
        <v>0</v>
      </c>
      <c r="AY216">
        <f t="shared" si="171"/>
        <v>0</v>
      </c>
    </row>
    <row r="217" spans="14:51" x14ac:dyDescent="0.2">
      <c r="N217" s="170">
        <v>99</v>
      </c>
      <c r="O217" s="199">
        <f t="shared" si="137"/>
        <v>977.23722095581138</v>
      </c>
      <c r="P217" s="189" t="str">
        <f t="shared" si="138"/>
        <v>771.276595744681</v>
      </c>
      <c r="Q217" s="160" t="str">
        <f t="shared" si="139"/>
        <v>1+6262.96579930534i</v>
      </c>
      <c r="R217" s="160">
        <f t="shared" si="147"/>
        <v>6262.9658791397205</v>
      </c>
      <c r="S217" s="160">
        <f t="shared" si="148"/>
        <v>1.5706366580335547</v>
      </c>
      <c r="T217" s="160" t="str">
        <f t="shared" si="140"/>
        <v>1+0.00147363901160126i</v>
      </c>
      <c r="U217" s="160">
        <f t="shared" si="149"/>
        <v>1.0000010858053787</v>
      </c>
      <c r="V217" s="160">
        <f t="shared" si="150"/>
        <v>1.4736379448786272E-3</v>
      </c>
      <c r="W217" s="98" t="str">
        <f t="shared" si="141"/>
        <v>1-0.00417531053287022i</v>
      </c>
      <c r="X217" s="160">
        <f t="shared" si="151"/>
        <v>1.0000087165710336</v>
      </c>
      <c r="Y217" s="160">
        <f t="shared" si="152"/>
        <v>-4.1752862700910305E-3</v>
      </c>
      <c r="Z217" s="98" t="str">
        <f t="shared" si="142"/>
        <v>0.999618002965591-0.0285875670606321i</v>
      </c>
      <c r="AA217" s="160">
        <f t="shared" si="153"/>
        <v>1.0000267000652345</v>
      </c>
      <c r="AB217" s="160">
        <f t="shared" si="154"/>
        <v>-2.8590698771796659E-2</v>
      </c>
      <c r="AC217" s="171" t="str">
        <f t="shared" si="155"/>
        <v>0.0032074509822189-0.123104919940989i</v>
      </c>
      <c r="AD217" s="190">
        <f t="shared" si="156"/>
        <v>-18.1915446223936</v>
      </c>
      <c r="AE217" s="169">
        <f t="shared" si="157"/>
        <v>-88.507518327664485</v>
      </c>
      <c r="AF217" s="98" t="str">
        <f t="shared" si="143"/>
        <v>-0.0000119284294234592</v>
      </c>
      <c r="AG217" s="98" t="str">
        <f t="shared" si="144"/>
        <v>0.0000343984186283023i</v>
      </c>
      <c r="AH217" s="98">
        <f t="shared" si="158"/>
        <v>3.4398418628302303E-5</v>
      </c>
      <c r="AI217" s="98">
        <f t="shared" si="159"/>
        <v>1.5707963267948966</v>
      </c>
      <c r="AJ217" s="98" t="str">
        <f t="shared" si="145"/>
        <v>1+0.0297067162382936i</v>
      </c>
      <c r="AK217" s="98">
        <f t="shared" si="160"/>
        <v>1.0004411471894099</v>
      </c>
      <c r="AL217" s="98">
        <f t="shared" si="161"/>
        <v>2.9697982245752305E-2</v>
      </c>
      <c r="AM217" s="98" t="str">
        <f t="shared" si="146"/>
        <v>1+75.6468025955311i</v>
      </c>
      <c r="AN217" s="98">
        <f t="shared" si="162"/>
        <v>75.653411971485127</v>
      </c>
      <c r="AO217" s="98">
        <f t="shared" si="163"/>
        <v>1.5575777673637701</v>
      </c>
      <c r="AP217" s="168" t="str">
        <f t="shared" si="164"/>
        <v>-26.1988175654819+1.12505344965738i</v>
      </c>
      <c r="AQ217" s="98">
        <f t="shared" si="165"/>
        <v>28.373635234656088</v>
      </c>
      <c r="AR217" s="169">
        <f t="shared" si="166"/>
        <v>177.54106329061753</v>
      </c>
      <c r="AS217" s="168" t="str">
        <f t="shared" si="167"/>
        <v>0.0544681917160266+3.22881189273938i</v>
      </c>
      <c r="AT217" s="190">
        <f t="shared" si="168"/>
        <v>10.182090612262495</v>
      </c>
      <c r="AU217" s="169">
        <f t="shared" si="169"/>
        <v>89.033544962953059</v>
      </c>
      <c r="AV217" s="225"/>
      <c r="AX217">
        <f t="shared" si="170"/>
        <v>0</v>
      </c>
      <c r="AY217">
        <f t="shared" si="171"/>
        <v>0</v>
      </c>
    </row>
    <row r="218" spans="14:51" x14ac:dyDescent="0.2">
      <c r="N218" s="170">
        <v>100</v>
      </c>
      <c r="O218" s="199">
        <f t="shared" si="137"/>
        <v>1000</v>
      </c>
      <c r="P218" s="189" t="str">
        <f t="shared" si="138"/>
        <v>771.276595744681</v>
      </c>
      <c r="Q218" s="160" t="str">
        <f t="shared" si="139"/>
        <v>1+6408.84901332318i</v>
      </c>
      <c r="R218" s="160">
        <f t="shared" si="147"/>
        <v>6408.8490913403084</v>
      </c>
      <c r="S218" s="160">
        <f t="shared" si="148"/>
        <v>1.5706402925382297</v>
      </c>
      <c r="T218" s="160" t="str">
        <f t="shared" si="140"/>
        <v>1+0.0015079644737231i</v>
      </c>
      <c r="U218" s="160">
        <f t="shared" si="149"/>
        <v>1.0000011369777806</v>
      </c>
      <c r="V218" s="160">
        <f t="shared" si="150"/>
        <v>1.5079633307092759E-3</v>
      </c>
      <c r="W218" s="98" t="str">
        <f t="shared" si="141"/>
        <v>1-0.00427256600888211i</v>
      </c>
      <c r="X218" s="160">
        <f t="shared" si="151"/>
        <v>1.0000091273684957</v>
      </c>
      <c r="Y218" s="160">
        <f t="shared" si="152"/>
        <v>-4.2725400108586248E-3</v>
      </c>
      <c r="Z218" s="98" t="str">
        <f t="shared" si="142"/>
        <v>0.9996-0.0292534570395009i</v>
      </c>
      <c r="AA218" s="160">
        <f t="shared" si="153"/>
        <v>1.0000279619834449</v>
      </c>
      <c r="AB218" s="160">
        <f t="shared" si="154"/>
        <v>-2.9256812681268823E-2</v>
      </c>
      <c r="AC218" s="171" t="str">
        <f t="shared" si="155"/>
        <v>0.00320656496938115-0.12030071280838i</v>
      </c>
      <c r="AD218" s="190">
        <f t="shared" si="156"/>
        <v>-18.391551565406246</v>
      </c>
      <c r="AE218" s="169">
        <f t="shared" si="157"/>
        <v>-88.473166582904838</v>
      </c>
      <c r="AF218" s="98" t="str">
        <f t="shared" si="143"/>
        <v>-0.0000119284294234592</v>
      </c>
      <c r="AG218" s="98" t="str">
        <f t="shared" si="144"/>
        <v>0.0000351996607278815i</v>
      </c>
      <c r="AH218" s="98">
        <f t="shared" si="158"/>
        <v>3.5199660727881499E-5</v>
      </c>
      <c r="AI218" s="98">
        <f t="shared" si="159"/>
        <v>1.5707963267948966</v>
      </c>
      <c r="AJ218" s="98" t="str">
        <f t="shared" si="145"/>
        <v>1+0.0303986745503187i</v>
      </c>
      <c r="AK218" s="98">
        <f t="shared" si="160"/>
        <v>1.0004619330161524</v>
      </c>
      <c r="AL218" s="98">
        <f t="shared" si="161"/>
        <v>3.0389316142059274E-2</v>
      </c>
      <c r="AM218" s="98" t="str">
        <f t="shared" si="146"/>
        <v>1+77.4088429844525i</v>
      </c>
      <c r="AN218" s="98">
        <f t="shared" si="162"/>
        <v>77.415301925340458</v>
      </c>
      <c r="AO218" s="98">
        <f t="shared" si="163"/>
        <v>1.5578786246502054</v>
      </c>
      <c r="AP218" s="168" t="str">
        <f t="shared" si="164"/>
        <v>-26.1977289514971+1.13525533850431i</v>
      </c>
      <c r="AQ218" s="98">
        <f t="shared" si="165"/>
        <v>28.373420620988675</v>
      </c>
      <c r="AR218" s="169">
        <f t="shared" si="166"/>
        <v>177.51869062887332</v>
      </c>
      <c r="AS218" s="168" t="str">
        <f t="shared" si="167"/>
        <v>0.0525673065083743+3.15524573682559i</v>
      </c>
      <c r="AT218" s="190">
        <f t="shared" si="168"/>
        <v>9.9818690555824432</v>
      </c>
      <c r="AU218" s="169">
        <f t="shared" si="169"/>
        <v>89.045524045968492</v>
      </c>
      <c r="AV218" s="225"/>
      <c r="AX218">
        <f t="shared" si="170"/>
        <v>0</v>
      </c>
      <c r="AY218">
        <f t="shared" si="171"/>
        <v>0</v>
      </c>
    </row>
    <row r="219" spans="14:51" x14ac:dyDescent="0.2">
      <c r="N219" s="170">
        <v>1</v>
      </c>
      <c r="O219" s="199">
        <f>10^(3+(N219/100))</f>
        <v>1023.2929922807547</v>
      </c>
      <c r="P219" s="189" t="str">
        <f t="shared" si="138"/>
        <v>771.276595744681</v>
      </c>
      <c r="Q219" s="160" t="str">
        <f t="shared" si="139"/>
        <v>1+6558.13028391904i</v>
      </c>
      <c r="R219" s="160">
        <f t="shared" si="147"/>
        <v>6558.1303601602822</v>
      </c>
      <c r="S219" s="160">
        <f t="shared" si="148"/>
        <v>1.5706438443114819</v>
      </c>
      <c r="T219" s="160" t="str">
        <f t="shared" si="140"/>
        <v>1+0.00154308947856918i</v>
      </c>
      <c r="U219" s="160">
        <f t="shared" si="149"/>
        <v>1.0000011905618607</v>
      </c>
      <c r="V219" s="160">
        <f t="shared" si="150"/>
        <v>1.5430882538078803E-3</v>
      </c>
      <c r="W219" s="98" t="str">
        <f t="shared" si="141"/>
        <v>1-0.00437208685594602i</v>
      </c>
      <c r="X219" s="160">
        <f t="shared" si="151"/>
        <v>1.0000095575260648</v>
      </c>
      <c r="Y219" s="160">
        <f t="shared" si="152"/>
        <v>-4.3720589985763369E-3</v>
      </c>
      <c r="Z219" s="98" t="str">
        <f t="shared" si="142"/>
        <v>0.99958114858078-0.0299348575885073i</v>
      </c>
      <c r="AA219" s="160">
        <f t="shared" si="153"/>
        <v>1.0000292837196896</v>
      </c>
      <c r="AB219" s="160">
        <f t="shared" si="154"/>
        <v>-2.9938453170479221E-2</v>
      </c>
      <c r="AC219" s="171" t="str">
        <f t="shared" si="155"/>
        <v>0.00320571873610356-0.117560290621209i</v>
      </c>
      <c r="AD219" s="190">
        <f t="shared" si="156"/>
        <v>-18.591558839082758</v>
      </c>
      <c r="AE219" s="169">
        <f t="shared" si="157"/>
        <v>-88.438004469473356</v>
      </c>
      <c r="AF219" s="98" t="str">
        <f t="shared" si="143"/>
        <v>-0.0000119284294234592</v>
      </c>
      <c r="AG219" s="98" t="str">
        <f t="shared" si="144"/>
        <v>0.0000360195661535012i</v>
      </c>
      <c r="AH219" s="98">
        <f t="shared" si="158"/>
        <v>3.6019566153501198E-5</v>
      </c>
      <c r="AI219" s="98">
        <f t="shared" si="159"/>
        <v>1.5707963267948966</v>
      </c>
      <c r="AJ219" s="98" t="str">
        <f t="shared" si="145"/>
        <v>1+0.0311067506419644i</v>
      </c>
      <c r="AK219" s="98">
        <f t="shared" si="160"/>
        <v>1.0004836979858798</v>
      </c>
      <c r="AL219" s="98">
        <f t="shared" si="161"/>
        <v>3.1096723188666863E-2</v>
      </c>
      <c r="AM219" s="98" t="str">
        <f t="shared" si="146"/>
        <v>1+79.2119265665515i</v>
      </c>
      <c r="AN219" s="98">
        <f t="shared" si="162"/>
        <v>79.218238495846066</v>
      </c>
      <c r="AO219" s="98">
        <f t="shared" si="163"/>
        <v>1.5581726358485024</v>
      </c>
      <c r="AP219" s="168" t="str">
        <f t="shared" si="164"/>
        <v>-26.1965891296757+1.14605603775216i</v>
      </c>
      <c r="AQ219" s="98">
        <f t="shared" si="165"/>
        <v>28.373199047281709</v>
      </c>
      <c r="AR219" s="169">
        <f t="shared" si="166"/>
        <v>177.49500479149691</v>
      </c>
      <c r="AS219" s="168" t="str">
        <f t="shared" si="167"/>
        <v>0.050751784271327+3.08335256468193i</v>
      </c>
      <c r="AT219" s="190">
        <f t="shared" si="168"/>
        <v>9.7816402081989615</v>
      </c>
      <c r="AU219" s="169">
        <f t="shared" si="169"/>
        <v>89.057000322023541</v>
      </c>
      <c r="AV219" s="225"/>
      <c r="AX219">
        <f t="shared" si="170"/>
        <v>0</v>
      </c>
      <c r="AY219">
        <f t="shared" si="171"/>
        <v>0</v>
      </c>
    </row>
    <row r="220" spans="14:51" x14ac:dyDescent="0.2">
      <c r="N220" s="170">
        <v>2</v>
      </c>
      <c r="O220" s="199">
        <f t="shared" ref="O220:O283" si="172">10^(3+(N220/100))</f>
        <v>1047.1285480509</v>
      </c>
      <c r="P220" s="189" t="str">
        <f t="shared" si="138"/>
        <v>771.276595744681</v>
      </c>
      <c r="Q220" s="160" t="str">
        <f t="shared" si="139"/>
        <v>1+6710.88876199855i</v>
      </c>
      <c r="R220" s="160">
        <f t="shared" si="147"/>
        <v>6710.8888365043294</v>
      </c>
      <c r="S220" s="160">
        <f t="shared" si="148"/>
        <v>1.5706473152365079</v>
      </c>
      <c r="T220" s="160" t="str">
        <f t="shared" si="140"/>
        <v>1+0.00157903264988201i</v>
      </c>
      <c r="U220" s="160">
        <f t="shared" si="149"/>
        <v>1.0000012466712775</v>
      </c>
      <c r="V220" s="160">
        <f t="shared" si="150"/>
        <v>1.5790313375267213E-3</v>
      </c>
      <c r="W220" s="98" t="str">
        <f t="shared" si="141"/>
        <v>1-0.00447392584133236i</v>
      </c>
      <c r="X220" s="160">
        <f t="shared" si="151"/>
        <v>1.0000100079561374</v>
      </c>
      <c r="Y220" s="160">
        <f t="shared" si="152"/>
        <v>-4.4738959916390863E-3</v>
      </c>
      <c r="Z220" s="98" t="str">
        <f t="shared" si="142"/>
        <v>0.999561408721543-0.0306321299952419i</v>
      </c>
      <c r="AA220" s="160">
        <f t="shared" si="153"/>
        <v>1.0000306681264535</v>
      </c>
      <c r="AB220" s="160">
        <f t="shared" si="154"/>
        <v>-3.0635982671310926E-2</v>
      </c>
      <c r="AC220" s="171" t="str">
        <f t="shared" si="155"/>
        <v>0.00320491048709964-0.114882200367013i</v>
      </c>
      <c r="AD220" s="190">
        <f t="shared" si="156"/>
        <v>-18.791566459274737</v>
      </c>
      <c r="AE220" s="169">
        <f t="shared" si="157"/>
        <v>-88.402013285245857</v>
      </c>
      <c r="AF220" s="98" t="str">
        <f t="shared" si="143"/>
        <v>-0.0000119284294234592</v>
      </c>
      <c r="AG220" s="98" t="str">
        <f t="shared" si="144"/>
        <v>0.0000368585696298708i</v>
      </c>
      <c r="AH220" s="98">
        <f t="shared" si="158"/>
        <v>3.6858569629870798E-5</v>
      </c>
      <c r="AI220" s="98">
        <f t="shared" si="159"/>
        <v>1.5707963267948966</v>
      </c>
      <c r="AJ220" s="98" t="str">
        <f t="shared" si="145"/>
        <v>1+0.031831319944547i</v>
      </c>
      <c r="AK220" s="98">
        <f t="shared" si="160"/>
        <v>1.000506488199558</v>
      </c>
      <c r="AL220" s="98">
        <f t="shared" si="161"/>
        <v>3.182057562850308E-2</v>
      </c>
      <c r="AM220" s="98" t="str">
        <f t="shared" si="146"/>
        <v>1+81.0570093606098i</v>
      </c>
      <c r="AN220" s="98">
        <f t="shared" si="162"/>
        <v>81.06317762391248</v>
      </c>
      <c r="AO220" s="98">
        <f t="shared" si="163"/>
        <v>1.5584599566438524</v>
      </c>
      <c r="AP220" s="168" t="str">
        <f t="shared" si="164"/>
        <v>-26.1953956960075+1.15746105158475i</v>
      </c>
      <c r="AQ220" s="98">
        <f t="shared" si="165"/>
        <v>28.372970044717896</v>
      </c>
      <c r="AR220" s="169">
        <f t="shared" si="166"/>
        <v>177.46999337064392</v>
      </c>
      <c r="AS220" s="168" t="str">
        <f t="shared" si="167"/>
        <v>0.0490177740653136+3.01309425610456i</v>
      </c>
      <c r="AT220" s="190">
        <f t="shared" si="168"/>
        <v>9.5814035854431694</v>
      </c>
      <c r="AU220" s="169">
        <f t="shared" si="169"/>
        <v>89.067980085398062</v>
      </c>
      <c r="AV220" s="225"/>
      <c r="AX220">
        <f t="shared" si="170"/>
        <v>0</v>
      </c>
      <c r="AY220">
        <f t="shared" si="171"/>
        <v>0</v>
      </c>
    </row>
    <row r="221" spans="14:51" x14ac:dyDescent="0.2">
      <c r="N221" s="170">
        <v>3</v>
      </c>
      <c r="O221" s="199">
        <f t="shared" si="172"/>
        <v>1071.5193052376069</v>
      </c>
      <c r="P221" s="189" t="str">
        <f t="shared" si="138"/>
        <v>771.276595744681</v>
      </c>
      <c r="Q221" s="160" t="str">
        <f t="shared" si="139"/>
        <v>1+6867.20544212877i</v>
      </c>
      <c r="R221" s="160">
        <f t="shared" si="147"/>
        <v>6867.2055149385906</v>
      </c>
      <c r="S221" s="160">
        <f t="shared" si="148"/>
        <v>1.570650707153638</v>
      </c>
      <c r="T221" s="160" t="str">
        <f t="shared" si="140"/>
        <v>1+0.00161581304520677i</v>
      </c>
      <c r="U221" s="160">
        <f t="shared" si="149"/>
        <v>1.0000013054250465</v>
      </c>
      <c r="V221" s="160">
        <f t="shared" si="150"/>
        <v>1.6158116389928419E-3</v>
      </c>
      <c r="W221" s="98" t="str">
        <f t="shared" si="141"/>
        <v>1-0.00457813696141918i</v>
      </c>
      <c r="X221" s="160">
        <f t="shared" si="151"/>
        <v>1.0000104796141076</v>
      </c>
      <c r="Y221" s="160">
        <f t="shared" si="152"/>
        <v>-4.5781049769146849E-3</v>
      </c>
      <c r="Z221" s="98" t="str">
        <f t="shared" si="142"/>
        <v>0.999540738551401-0.0313456439627641i</v>
      </c>
      <c r="AA221" s="160">
        <f t="shared" si="153"/>
        <v>1.0000321181938712</v>
      </c>
      <c r="AB221" s="160">
        <f t="shared" si="154"/>
        <v>-3.1349772112868983E-2</v>
      </c>
      <c r="AC221" s="171" t="str">
        <f t="shared" si="155"/>
        <v>0.00320413850762246-0.112265022082122i</v>
      </c>
      <c r="AD221" s="190">
        <f t="shared" si="156"/>
        <v>-18.991574442609444</v>
      </c>
      <c r="AE221" s="169">
        <f t="shared" si="157"/>
        <v>-88.365173884320015</v>
      </c>
      <c r="AF221" s="98" t="str">
        <f t="shared" si="143"/>
        <v>-0.0000119284294234592</v>
      </c>
      <c r="AG221" s="98" t="str">
        <f t="shared" si="144"/>
        <v>0.000037717116007739i</v>
      </c>
      <c r="AH221" s="98">
        <f t="shared" si="158"/>
        <v>3.7717116007738997E-5</v>
      </c>
      <c r="AI221" s="98">
        <f t="shared" si="159"/>
        <v>1.5707963267948966</v>
      </c>
      <c r="AJ221" s="98" t="str">
        <f t="shared" si="145"/>
        <v>1+0.0325727666343016i</v>
      </c>
      <c r="AK221" s="98">
        <f t="shared" si="160"/>
        <v>1.0005303519265234</v>
      </c>
      <c r="AL221" s="98">
        <f t="shared" si="161"/>
        <v>3.2561254221806293E-2</v>
      </c>
      <c r="AM221" s="98" t="str">
        <f t="shared" si="146"/>
        <v>1+82.9450696539475i</v>
      </c>
      <c r="AN221" s="98">
        <f t="shared" si="162"/>
        <v>82.951097520757386</v>
      </c>
      <c r="AO221" s="98">
        <f t="shared" si="163"/>
        <v>1.5587407391876813</v>
      </c>
      <c r="AP221" s="168" t="str">
        <f t="shared" si="164"/>
        <v>-26.1941461340836+1.16947618874227i</v>
      </c>
      <c r="AQ221" s="98">
        <f t="shared" si="165"/>
        <v>28.372733128828745</v>
      </c>
      <c r="AR221" s="169">
        <f t="shared" si="166"/>
        <v>177.44364326799433</v>
      </c>
      <c r="AS221" s="168" t="str">
        <f t="shared" si="167"/>
        <v>0.0473615978511596+2.94443355785532i</v>
      </c>
      <c r="AT221" s="190">
        <f t="shared" si="168"/>
        <v>9.3811586862192939</v>
      </c>
      <c r="AU221" s="169">
        <f t="shared" si="169"/>
        <v>89.078469383674332</v>
      </c>
      <c r="AV221" s="225"/>
      <c r="AX221">
        <f t="shared" si="170"/>
        <v>0</v>
      </c>
      <c r="AY221">
        <f t="shared" si="171"/>
        <v>0</v>
      </c>
    </row>
    <row r="222" spans="14:51" x14ac:dyDescent="0.2">
      <c r="N222" s="170">
        <v>4</v>
      </c>
      <c r="O222" s="199">
        <f t="shared" si="172"/>
        <v>1096.4781961431863</v>
      </c>
      <c r="P222" s="189" t="str">
        <f t="shared" si="138"/>
        <v>771.276595744681</v>
      </c>
      <c r="Q222" s="160" t="str">
        <f t="shared" si="139"/>
        <v>1+7027.16320548263i</v>
      </c>
      <c r="R222" s="160">
        <f t="shared" si="147"/>
        <v>7027.1632766350967</v>
      </c>
      <c r="S222" s="160">
        <f t="shared" si="148"/>
        <v>1.5706540218613112</v>
      </c>
      <c r="T222" s="160" t="str">
        <f t="shared" si="140"/>
        <v>1+0.00165345016599591i</v>
      </c>
      <c r="U222" s="160">
        <f t="shared" si="149"/>
        <v>1.0000013669477914</v>
      </c>
      <c r="V222" s="160">
        <f t="shared" si="150"/>
        <v>1.6534486592106501E-3</v>
      </c>
      <c r="W222" s="98" t="str">
        <f t="shared" si="141"/>
        <v>1-0.00468477547032175i</v>
      </c>
      <c r="X222" s="160">
        <f t="shared" si="151"/>
        <v>1.0000109735003948</v>
      </c>
      <c r="Y222" s="160">
        <f t="shared" si="152"/>
        <v>-4.684741198328026E-3</v>
      </c>
      <c r="Z222" s="98" t="str">
        <f t="shared" si="142"/>
        <v>0.999519094226153-0.0320757778056241i</v>
      </c>
      <c r="AA222" s="160">
        <f t="shared" si="153"/>
        <v>1.0000336370565268</v>
      </c>
      <c r="AB222" s="160">
        <f t="shared" si="154"/>
        <v>-3.208020112333889E-2</v>
      </c>
      <c r="AC222" s="171" t="str">
        <f t="shared" si="155"/>
        <v>0.00320340115982453-0.109707368098747i</v>
      </c>
      <c r="AD222" s="190">
        <f t="shared" si="156"/>
        <v>-19.191582806529482</v>
      </c>
      <c r="AE222" s="169">
        <f t="shared" si="157"/>
        <v>-88.327466666564419</v>
      </c>
      <c r="AF222" s="98" t="str">
        <f t="shared" si="143"/>
        <v>-0.0000119284294234592</v>
      </c>
      <c r="AG222" s="98" t="str">
        <f t="shared" si="144"/>
        <v>0.0000385956604997596i</v>
      </c>
      <c r="AH222" s="98">
        <f t="shared" si="158"/>
        <v>3.8595660499759601E-5</v>
      </c>
      <c r="AI222" s="98">
        <f t="shared" si="159"/>
        <v>1.5707963267948966</v>
      </c>
      <c r="AJ222" s="98" t="str">
        <f t="shared" si="145"/>
        <v>1+0.0333314838360772i</v>
      </c>
      <c r="AK222" s="98">
        <f t="shared" si="160"/>
        <v>1.0005553397062625</v>
      </c>
      <c r="AL222" s="98">
        <f t="shared" si="161"/>
        <v>3.3319148433593453E-2</v>
      </c>
      <c r="AM222" s="98" t="str">
        <f t="shared" si="146"/>
        <v>1+84.8771085211235i</v>
      </c>
      <c r="AN222" s="98">
        <f t="shared" si="162"/>
        <v>84.882999186566067</v>
      </c>
      <c r="AO222" s="98">
        <f t="shared" si="163"/>
        <v>1.5590151321774162</v>
      </c>
      <c r="AP222" s="168" t="str">
        <f t="shared" si="164"/>
        <v>-26.192837809886+1.18210756447347i</v>
      </c>
      <c r="AQ222" s="98">
        <f t="shared" si="165"/>
        <v>28.372487798477867</v>
      </c>
      <c r="AR222" s="169">
        <f t="shared" si="166"/>
        <v>177.41594068858129</v>
      </c>
      <c r="AS222" s="168" t="str">
        <f t="shared" si="167"/>
        <v>0.0457797426887197+2.87733406390301i</v>
      </c>
      <c r="AT222" s="190">
        <f t="shared" si="168"/>
        <v>9.1809049919483705</v>
      </c>
      <c r="AU222" s="169">
        <f t="shared" si="169"/>
        <v>89.088474022016868</v>
      </c>
      <c r="AV222" s="225"/>
      <c r="AX222">
        <f t="shared" si="170"/>
        <v>0</v>
      </c>
      <c r="AY222">
        <f t="shared" si="171"/>
        <v>0</v>
      </c>
    </row>
    <row r="223" spans="14:51" x14ac:dyDescent="0.2">
      <c r="N223" s="170">
        <v>5</v>
      </c>
      <c r="O223" s="199">
        <f t="shared" si="172"/>
        <v>1122.0184543019636</v>
      </c>
      <c r="P223" s="189" t="str">
        <f t="shared" si="138"/>
        <v>771.276595744681</v>
      </c>
      <c r="Q223" s="160" t="str">
        <f t="shared" si="139"/>
        <v>1+7190.84686378354i</v>
      </c>
      <c r="R223" s="160">
        <f t="shared" si="147"/>
        <v>7190.8469333163803</v>
      </c>
      <c r="S223" s="160">
        <f t="shared" si="148"/>
        <v>1.5706572611170291</v>
      </c>
      <c r="T223" s="160" t="str">
        <f t="shared" si="140"/>
        <v>1+0.00169196396794907i</v>
      </c>
      <c r="U223" s="160">
        <f t="shared" si="149"/>
        <v>1.0000014313700099</v>
      </c>
      <c r="V223" s="160">
        <f t="shared" si="150"/>
        <v>1.6919623533996999E-3</v>
      </c>
      <c r="W223" s="98" t="str">
        <f t="shared" si="141"/>
        <v>1-0.00479389790918902i</v>
      </c>
      <c r="X223" s="160">
        <f t="shared" si="151"/>
        <v>1.0000114906625641</v>
      </c>
      <c r="Y223" s="160">
        <f t="shared" si="152"/>
        <v>-4.793861186108906E-3</v>
      </c>
      <c r="Z223" s="98" t="str">
        <f t="shared" si="142"/>
        <v>0.999496429835282-0.0328229186504497i</v>
      </c>
      <c r="AA223" s="160">
        <f t="shared" si="153"/>
        <v>1.0000352280005984</v>
      </c>
      <c r="AB223" s="160">
        <f t="shared" si="154"/>
        <v>-3.2827658236826013E-2</v>
      </c>
      <c r="AC223" s="171" t="str">
        <f t="shared" si="155"/>
        <v>0.00320269687928054-0.107207882309204i</v>
      </c>
      <c r="AD223" s="190">
        <f t="shared" si="156"/>
        <v>-19.391591569333425</v>
      </c>
      <c r="AE223" s="169">
        <f t="shared" si="157"/>
        <v>-88.288871566905854</v>
      </c>
      <c r="AF223" s="98" t="str">
        <f t="shared" si="143"/>
        <v>-0.0000119284294234592</v>
      </c>
      <c r="AG223" s="98" t="str">
        <f t="shared" si="144"/>
        <v>0.0000394946689218511i</v>
      </c>
      <c r="AH223" s="98">
        <f t="shared" si="158"/>
        <v>3.9494668921851102E-5</v>
      </c>
      <c r="AI223" s="98">
        <f t="shared" si="159"/>
        <v>1.5707963267948966</v>
      </c>
      <c r="AJ223" s="98" t="str">
        <f t="shared" si="145"/>
        <v>1+0.034107873831777i</v>
      </c>
      <c r="AK223" s="98">
        <f t="shared" si="160"/>
        <v>1.0005815044549466</v>
      </c>
      <c r="AL223" s="98">
        <f t="shared" si="161"/>
        <v>3.4094656624719229E-2</v>
      </c>
      <c r="AM223" s="98" t="str">
        <f t="shared" si="146"/>
        <v>1+86.8541503547188i</v>
      </c>
      <c r="AN223" s="98">
        <f t="shared" si="162"/>
        <v>86.85990694123555</v>
      </c>
      <c r="AO223" s="98">
        <f t="shared" si="163"/>
        <v>1.5592832809344819</v>
      </c>
      <c r="AP223" s="168" t="str">
        <f t="shared" si="164"/>
        <v>-26.19146796634+1.19536160257031i</v>
      </c>
      <c r="AQ223" s="98">
        <f t="shared" si="165"/>
        <v>28.372233534809897</v>
      </c>
      <c r="AR223" s="169">
        <f t="shared" si="166"/>
        <v>177.38687113431354</v>
      </c>
      <c r="AS223" s="168" t="str">
        <f t="shared" si="167"/>
        <v>0.0442688532857259+2.81176019611483i</v>
      </c>
      <c r="AT223" s="190">
        <f t="shared" si="168"/>
        <v>8.9806419654764742</v>
      </c>
      <c r="AU223" s="169">
        <f t="shared" si="169"/>
        <v>89.097999567407683</v>
      </c>
      <c r="AV223" s="225"/>
      <c r="AX223">
        <f t="shared" si="170"/>
        <v>0</v>
      </c>
      <c r="AY223">
        <f t="shared" si="171"/>
        <v>0</v>
      </c>
    </row>
    <row r="224" spans="14:51" x14ac:dyDescent="0.2">
      <c r="N224" s="170">
        <v>6</v>
      </c>
      <c r="O224" s="199">
        <f t="shared" si="172"/>
        <v>1148.1536214968839</v>
      </c>
      <c r="P224" s="189" t="str">
        <f t="shared" si="138"/>
        <v>771.276595744681</v>
      </c>
      <c r="Q224" s="160" t="str">
        <f t="shared" si="139"/>
        <v>1+7358.34320427374i</v>
      </c>
      <c r="R224" s="160">
        <f t="shared" si="147"/>
        <v>7358.3432722238185</v>
      </c>
      <c r="S224" s="160">
        <f t="shared" si="148"/>
        <v>1.5706604266382875</v>
      </c>
      <c r="T224" s="160" t="str">
        <f t="shared" si="140"/>
        <v>1+0.00173137487159382i</v>
      </c>
      <c r="U224" s="160">
        <f t="shared" si="149"/>
        <v>1.0000014988283497</v>
      </c>
      <c r="V224" s="160">
        <f t="shared" si="150"/>
        <v>1.7313731415731408E-3</v>
      </c>
      <c r="W224" s="98" t="str">
        <f t="shared" si="141"/>
        <v>1-0.00490556213618248i</v>
      </c>
      <c r="X224" s="160">
        <f t="shared" si="151"/>
        <v>1.000012032197549</v>
      </c>
      <c r="Y224" s="160">
        <f t="shared" si="152"/>
        <v>-4.9055227867187612E-3</v>
      </c>
      <c r="Z224" s="98" t="str">
        <f t="shared" si="142"/>
        <v>0.999472697304577-0.0335874626412064i</v>
      </c>
      <c r="AA224" s="160">
        <f t="shared" si="153"/>
        <v>1.0000368944713796</v>
      </c>
      <c r="AB224" s="160">
        <f t="shared" si="154"/>
        <v>-3.3592541105313962E-2</v>
      </c>
      <c r="AC224" s="171" t="str">
        <f t="shared" si="155"/>
        <v>0.00320202417166548-0.104765239446853i</v>
      </c>
      <c r="AD224" s="190">
        <f t="shared" si="156"/>
        <v>-19.591600750219975</v>
      </c>
      <c r="AE224" s="169">
        <f t="shared" si="157"/>
        <v>-88.24936804434671</v>
      </c>
      <c r="AF224" s="98" t="str">
        <f t="shared" si="143"/>
        <v>-0.0000119284294234592</v>
      </c>
      <c r="AG224" s="98" t="str">
        <f t="shared" si="144"/>
        <v>0.0000404146179401788i</v>
      </c>
      <c r="AH224" s="98">
        <f t="shared" si="158"/>
        <v>4.04146179401788E-5</v>
      </c>
      <c r="AI224" s="98">
        <f t="shared" si="159"/>
        <v>1.5707963267948966</v>
      </c>
      <c r="AJ224" s="98" t="str">
        <f t="shared" si="145"/>
        <v>1+0.0349023482736535i</v>
      </c>
      <c r="AK224" s="98">
        <f t="shared" si="160"/>
        <v>1.0006089015769426</v>
      </c>
      <c r="AL224" s="98">
        <f t="shared" si="161"/>
        <v>3.4888186246553939E-2</v>
      </c>
      <c r="AM224" s="98" t="str">
        <f t="shared" si="146"/>
        <v>1+88.8772434084827i</v>
      </c>
      <c r="AN224" s="98">
        <f t="shared" si="162"/>
        <v>88.882868967482608</v>
      </c>
      <c r="AO224" s="98">
        <f t="shared" si="163"/>
        <v>1.5595453274805628</v>
      </c>
      <c r="AP224" s="168" t="str">
        <f t="shared" si="164"/>
        <v>-26.1900337176174+1.20924503748093i</v>
      </c>
      <c r="AQ224" s="98">
        <f t="shared" si="165"/>
        <v>28.371969800162489</v>
      </c>
      <c r="AR224" s="169">
        <f t="shared" si="166"/>
        <v>177.35641939719017</v>
      </c>
      <c r="AS224" s="168" t="str">
        <f t="shared" si="167"/>
        <v>0.0428257248810635+2.74767718538682i</v>
      </c>
      <c r="AT224" s="190">
        <f t="shared" si="168"/>
        <v>8.7803690499425162</v>
      </c>
      <c r="AU224" s="169">
        <f t="shared" si="169"/>
        <v>89.107051352843456</v>
      </c>
      <c r="AV224" s="225"/>
      <c r="AX224">
        <f t="shared" si="170"/>
        <v>0</v>
      </c>
      <c r="AY224">
        <f t="shared" si="171"/>
        <v>0</v>
      </c>
    </row>
    <row r="225" spans="14:51" x14ac:dyDescent="0.2">
      <c r="N225" s="170">
        <v>7</v>
      </c>
      <c r="O225" s="199">
        <f t="shared" si="172"/>
        <v>1174.8975549395295</v>
      </c>
      <c r="P225" s="189" t="str">
        <f t="shared" si="138"/>
        <v>771.276595744681</v>
      </c>
      <c r="Q225" s="160" t="str">
        <f t="shared" si="139"/>
        <v>1+7529.74103573002i</v>
      </c>
      <c r="R225" s="160">
        <f t="shared" si="147"/>
        <v>7529.7411021333664</v>
      </c>
      <c r="S225" s="160">
        <f t="shared" si="148"/>
        <v>1.5706635201034878</v>
      </c>
      <c r="T225" s="160" t="str">
        <f t="shared" si="140"/>
        <v>1+0.00177170377311294i</v>
      </c>
      <c r="U225" s="160">
        <f t="shared" si="149"/>
        <v>1.0000015694658981</v>
      </c>
      <c r="V225" s="160">
        <f t="shared" si="150"/>
        <v>1.7717019193625406E-3</v>
      </c>
      <c r="W225" s="98" t="str">
        <f t="shared" si="141"/>
        <v>1-0.00501982735715334i</v>
      </c>
      <c r="X225" s="160">
        <f t="shared" si="151"/>
        <v>1.0000125992539772</v>
      </c>
      <c r="Y225" s="160">
        <f t="shared" si="152"/>
        <v>-5.0197851934720055E-3</v>
      </c>
      <c r="Z225" s="98" t="str">
        <f t="shared" si="142"/>
        <v>0.999447846294159-0.0343698151492381i</v>
      </c>
      <c r="AA225" s="160">
        <f t="shared" si="153"/>
        <v>1.0000386400811847</v>
      </c>
      <c r="AB225" s="160">
        <f t="shared" si="154"/>
        <v>-3.4375256715881153E-2</v>
      </c>
      <c r="AC225" s="171" t="str">
        <f t="shared" si="155"/>
        <v>0.00320138160958121-0.102378144383398i</v>
      </c>
      <c r="AD225" s="190">
        <f t="shared" si="156"/>
        <v>-19.791610369333608</v>
      </c>
      <c r="AE225" s="169">
        <f t="shared" si="157"/>
        <v>-88.208935070705948</v>
      </c>
      <c r="AF225" s="98" t="str">
        <f t="shared" si="143"/>
        <v>-0.0000119284294234592</v>
      </c>
      <c r="AG225" s="98" t="str">
        <f t="shared" si="144"/>
        <v>0.0000413559953238889i</v>
      </c>
      <c r="AH225" s="98">
        <f t="shared" si="158"/>
        <v>4.13559953238889E-5</v>
      </c>
      <c r="AI225" s="98">
        <f t="shared" si="159"/>
        <v>1.5707963267948966</v>
      </c>
      <c r="AJ225" s="98" t="str">
        <f t="shared" si="145"/>
        <v>1+0.0357153284025719i</v>
      </c>
      <c r="AK225" s="98">
        <f t="shared" si="160"/>
        <v>1.0006375890815333</v>
      </c>
      <c r="AL225" s="98">
        <f t="shared" si="161"/>
        <v>3.5700154039306091E-2</v>
      </c>
      <c r="AM225" s="98" t="str">
        <f t="shared" si="146"/>
        <v>1+90.9474603531311i</v>
      </c>
      <c r="AN225" s="98">
        <f t="shared" si="162"/>
        <v>90.952957866604621</v>
      </c>
      <c r="AO225" s="98">
        <f t="shared" si="163"/>
        <v>1.5598014106121689</v>
      </c>
      <c r="AP225" s="168" t="str">
        <f t="shared" si="164"/>
        <v>-26.1885320431836+1.22376491649555i</v>
      </c>
      <c r="AQ225" s="98">
        <f t="shared" si="165"/>
        <v>28.371696036940335</v>
      </c>
      <c r="AR225" s="169">
        <f t="shared" si="166"/>
        <v>177.32456955221048</v>
      </c>
      <c r="AS225" s="168" t="str">
        <f t="shared" si="167"/>
        <v>0.0414472964473422+2.68505105320442i</v>
      </c>
      <c r="AT225" s="190">
        <f t="shared" si="168"/>
        <v>8.5800856676067472</v>
      </c>
      <c r="AU225" s="169">
        <f t="shared" si="169"/>
        <v>89.115634481504529</v>
      </c>
      <c r="AV225" s="225"/>
      <c r="AX225">
        <f t="shared" si="170"/>
        <v>0</v>
      </c>
      <c r="AY225">
        <f t="shared" si="171"/>
        <v>0</v>
      </c>
    </row>
    <row r="226" spans="14:51" x14ac:dyDescent="0.2">
      <c r="N226" s="170">
        <v>8</v>
      </c>
      <c r="O226" s="199">
        <f t="shared" si="172"/>
        <v>1202.2644346174138</v>
      </c>
      <c r="P226" s="189" t="str">
        <f t="shared" si="138"/>
        <v>771.276595744681</v>
      </c>
      <c r="Q226" s="160" t="str">
        <f t="shared" si="139"/>
        <v>1+7705.13123555137i</v>
      </c>
      <c r="R226" s="160">
        <f t="shared" si="147"/>
        <v>7705.1313004431913</v>
      </c>
      <c r="S226" s="160">
        <f t="shared" si="148"/>
        <v>1.5706665431528255</v>
      </c>
      <c r="T226" s="160" t="str">
        <f t="shared" si="140"/>
        <v>1+0.00181297205542385i</v>
      </c>
      <c r="U226" s="160">
        <f t="shared" si="149"/>
        <v>1.0000016434324865</v>
      </c>
      <c r="V226" s="160">
        <f t="shared" si="150"/>
        <v>1.8129700690946865E-3</v>
      </c>
      <c r="W226" s="98" t="str">
        <f t="shared" si="141"/>
        <v>1-0.00513675415703423i</v>
      </c>
      <c r="X226" s="160">
        <f t="shared" si="151"/>
        <v>1.0000131930346068</v>
      </c>
      <c r="Y226" s="160">
        <f t="shared" si="152"/>
        <v>-5.1367089778678911E-3</v>
      </c>
      <c r="Z226" s="98" t="str">
        <f t="shared" si="142"/>
        <v>0.999421824091702-0.0351703909882003i</v>
      </c>
      <c r="AA226" s="160">
        <f t="shared" si="153"/>
        <v>1.0000404686176694</v>
      </c>
      <c r="AB226" s="160">
        <f t="shared" si="154"/>
        <v>-3.5176221613321186E-2</v>
      </c>
      <c r="AC226" s="171" t="str">
        <f t="shared" si="155"/>
        <v>0.0032007678295245-0.100045331442163i</v>
      </c>
      <c r="AD226" s="190">
        <f t="shared" si="156"/>
        <v>-19.991620447812842</v>
      </c>
      <c r="AE226" s="169">
        <f t="shared" si="157"/>
        <v>-88.167551119075455</v>
      </c>
      <c r="AF226" s="98" t="str">
        <f t="shared" si="143"/>
        <v>-0.0000119284294234592</v>
      </c>
      <c r="AG226" s="98" t="str">
        <f t="shared" si="144"/>
        <v>0.0000423193002037312i</v>
      </c>
      <c r="AH226" s="98">
        <f t="shared" si="158"/>
        <v>4.2319300203731197E-5</v>
      </c>
      <c r="AI226" s="98">
        <f t="shared" si="159"/>
        <v>1.5707963267948966</v>
      </c>
      <c r="AJ226" s="98" t="str">
        <f t="shared" si="145"/>
        <v>1+0.0365472452713577i</v>
      </c>
      <c r="AK226" s="98">
        <f t="shared" si="160"/>
        <v>1.0006676277050861</v>
      </c>
      <c r="AL226" s="98">
        <f t="shared" si="161"/>
        <v>3.653098623401195E-2</v>
      </c>
      <c r="AM226" s="98" t="str">
        <f t="shared" si="146"/>
        <v>1+93.065898845091i</v>
      </c>
      <c r="AN226" s="98">
        <f t="shared" si="162"/>
        <v>93.071271227187566</v>
      </c>
      <c r="AO226" s="98">
        <f t="shared" si="163"/>
        <v>1.5600516659735411</v>
      </c>
      <c r="AP226" s="168" t="str">
        <f t="shared" si="164"/>
        <v>-26.1869597815729+1.23892860200073i</v>
      </c>
      <c r="AQ226" s="98">
        <f t="shared" si="165"/>
        <v>28.37141166644755</v>
      </c>
      <c r="AR226" s="169">
        <f t="shared" si="166"/>
        <v>177.29130494997736</v>
      </c>
      <c r="AS226" s="168" t="str">
        <f t="shared" si="167"/>
        <v>0.0401306441984282+2.62384859362241i</v>
      </c>
      <c r="AT226" s="190">
        <f t="shared" si="168"/>
        <v>8.3797912186346899</v>
      </c>
      <c r="AU226" s="169">
        <f t="shared" si="169"/>
        <v>89.123753830901933</v>
      </c>
      <c r="AV226" s="225"/>
      <c r="AX226">
        <f t="shared" si="170"/>
        <v>0</v>
      </c>
      <c r="AY226">
        <f t="shared" si="171"/>
        <v>0</v>
      </c>
    </row>
    <row r="227" spans="14:51" x14ac:dyDescent="0.2">
      <c r="N227" s="170">
        <v>9</v>
      </c>
      <c r="O227" s="199">
        <f t="shared" si="172"/>
        <v>1230.2687708123824</v>
      </c>
      <c r="P227" s="189" t="str">
        <f t="shared" si="138"/>
        <v>771.276595744681</v>
      </c>
      <c r="Q227" s="160" t="str">
        <f t="shared" si="139"/>
        <v>1+7884.60679794326i</v>
      </c>
      <c r="R227" s="160">
        <f t="shared" si="147"/>
        <v>7884.6068613579628</v>
      </c>
      <c r="S227" s="160">
        <f t="shared" si="148"/>
        <v>1.5706694973891615</v>
      </c>
      <c r="T227" s="160" t="str">
        <f t="shared" si="140"/>
        <v>1+0.00185520159951606i</v>
      </c>
      <c r="U227" s="160">
        <f t="shared" si="149"/>
        <v>1.0000017208850067</v>
      </c>
      <c r="V227" s="160">
        <f t="shared" si="150"/>
        <v>1.8551994711262126E-3</v>
      </c>
      <c r="W227" s="98" t="str">
        <f t="shared" si="141"/>
        <v>1-0.00525640453196216i</v>
      </c>
      <c r="X227" s="160">
        <f t="shared" si="151"/>
        <v>1.0000138147988775</v>
      </c>
      <c r="Y227" s="160">
        <f t="shared" si="152"/>
        <v>-5.2563561216493531E-3</v>
      </c>
      <c r="Z227" s="98" t="str">
        <f t="shared" si="142"/>
        <v>0.999394575500625-0.0359896146339996i</v>
      </c>
      <c r="AA227" s="160">
        <f t="shared" si="153"/>
        <v>1.0000423840525852</v>
      </c>
      <c r="AB227" s="160">
        <f t="shared" si="154"/>
        <v>-3.5995862128317305E-2</v>
      </c>
      <c r="AC227" s="171" t="str">
        <f t="shared" si="155"/>
        <v>0.00320018152899026-0.0977655637269733i</v>
      </c>
      <c r="AD227" s="190">
        <f t="shared" si="156"/>
        <v>-20.191631007841767</v>
      </c>
      <c r="AE227" s="169">
        <f t="shared" si="157"/>
        <v>-88.125194151983678</v>
      </c>
      <c r="AF227" s="98" t="str">
        <f t="shared" si="143"/>
        <v>-0.0000119284294234592</v>
      </c>
      <c r="AG227" s="98" t="str">
        <f t="shared" si="144"/>
        <v>0.0000433050433367036i</v>
      </c>
      <c r="AH227" s="98">
        <f t="shared" si="158"/>
        <v>4.3305043336703603E-5</v>
      </c>
      <c r="AI227" s="98">
        <f t="shared" si="159"/>
        <v>1.5707963267948966</v>
      </c>
      <c r="AJ227" s="98" t="str">
        <f t="shared" si="145"/>
        <v>1+0.0373985399733462i</v>
      </c>
      <c r="AK227" s="98">
        <f t="shared" si="160"/>
        <v>1.0006990810389196</v>
      </c>
      <c r="AL227" s="98">
        <f t="shared" si="161"/>
        <v>3.7381118758209271E-2</v>
      </c>
      <c r="AM227" s="98" t="str">
        <f t="shared" si="146"/>
        <v>1+95.233682108491i</v>
      </c>
      <c r="AN227" s="98">
        <f t="shared" si="162"/>
        <v>95.23893220706077</v>
      </c>
      <c r="AO227" s="98">
        <f t="shared" si="163"/>
        <v>1.5602962261279285</v>
      </c>
      <c r="AP227" s="168" t="str">
        <f t="shared" si="164"/>
        <v>-26.1853136238832+1.25474377379545i</v>
      </c>
      <c r="AQ227" s="98">
        <f t="shared" si="165"/>
        <v>28.371116087676981</v>
      </c>
      <c r="AR227" s="169">
        <f t="shared" si="166"/>
        <v>177.25660820899751</v>
      </c>
      <c r="AS227" s="168" t="str">
        <f t="shared" si="167"/>
        <v>0.038872975388054+2.56403735565505i</v>
      </c>
      <c r="AT227" s="190">
        <f t="shared" si="168"/>
        <v>8.1794850798352137</v>
      </c>
      <c r="AU227" s="169">
        <f t="shared" si="169"/>
        <v>89.131414057013842</v>
      </c>
      <c r="AV227" s="225"/>
      <c r="AX227">
        <f t="shared" si="170"/>
        <v>0</v>
      </c>
      <c r="AY227">
        <f t="shared" si="171"/>
        <v>0</v>
      </c>
    </row>
    <row r="228" spans="14:51" x14ac:dyDescent="0.2">
      <c r="N228" s="170">
        <v>10</v>
      </c>
      <c r="O228" s="199">
        <f t="shared" si="172"/>
        <v>1258.925411794168</v>
      </c>
      <c r="P228" s="189" t="str">
        <f t="shared" si="138"/>
        <v>771.276595744681</v>
      </c>
      <c r="Q228" s="160" t="str">
        <f t="shared" si="139"/>
        <v>1+8068.26288322453i</v>
      </c>
      <c r="R228" s="160">
        <f t="shared" si="147"/>
        <v>8068.2629451957382</v>
      </c>
      <c r="S228" s="160">
        <f t="shared" si="148"/>
        <v>1.5706723843788706</v>
      </c>
      <c r="T228" s="160" t="str">
        <f t="shared" si="140"/>
        <v>1+0.00189841479605283i</v>
      </c>
      <c r="U228" s="160">
        <f t="shared" si="149"/>
        <v>1.0000018019877455</v>
      </c>
      <c r="V228" s="160">
        <f t="shared" si="150"/>
        <v>1.8984125154422413E-3</v>
      </c>
      <c r="W228" s="98" t="str">
        <f t="shared" si="141"/>
        <v>1-0.00537884192214968i</v>
      </c>
      <c r="X228" s="160">
        <f t="shared" si="151"/>
        <v>1.0000144658655812</v>
      </c>
      <c r="Y228" s="160">
        <f t="shared" si="152"/>
        <v>-5.3787900496054617E-3</v>
      </c>
      <c r="Z228" s="98" t="str">
        <f t="shared" si="142"/>
        <v>0.999366042723016-0.0368279204498566i</v>
      </c>
      <c r="AA228" s="160">
        <f t="shared" si="153"/>
        <v>1.0000443905510006</v>
      </c>
      <c r="AB228" s="160">
        <f t="shared" si="154"/>
        <v>-3.6834614611326776E-2</v>
      </c>
      <c r="AC228" s="171" t="str">
        <f t="shared" si="155"/>
        <v>0.00319962146370367-0.095537632466305i</v>
      </c>
      <c r="AD228" s="190">
        <f t="shared" si="156"/>
        <v>-20.391642072703476</v>
      </c>
      <c r="AE228" s="169">
        <f t="shared" si="157"/>
        <v>-88.081841609258817</v>
      </c>
      <c r="AF228" s="98" t="str">
        <f t="shared" si="143"/>
        <v>-0.0000119284294234592</v>
      </c>
      <c r="AG228" s="98" t="str">
        <f t="shared" si="144"/>
        <v>0.0000443137473768632i</v>
      </c>
      <c r="AH228" s="98">
        <f t="shared" si="158"/>
        <v>4.4313747376863197E-5</v>
      </c>
      <c r="AI228" s="98">
        <f t="shared" si="159"/>
        <v>1.5707963267948966</v>
      </c>
      <c r="AJ228" s="98" t="str">
        <f t="shared" si="145"/>
        <v>1+0.0382696638762568i</v>
      </c>
      <c r="AK228" s="98">
        <f t="shared" si="160"/>
        <v>1.0007320156631352</v>
      </c>
      <c r="AL228" s="98">
        <f t="shared" si="161"/>
        <v>3.8250997445310998E-2</v>
      </c>
      <c r="AM228" s="98" t="str">
        <f t="shared" si="146"/>
        <v>1+97.451959530712i</v>
      </c>
      <c r="AN228" s="98">
        <f t="shared" si="162"/>
        <v>97.457090128812752</v>
      </c>
      <c r="AO228" s="98">
        <f t="shared" si="163"/>
        <v>1.5605352206272787</v>
      </c>
      <c r="AP228" s="168" t="str">
        <f t="shared" si="164"/>
        <v>-26.1835901069784+1.27121843146374i</v>
      </c>
      <c r="AQ228" s="98">
        <f t="shared" si="165"/>
        <v>28.370808676054242</v>
      </c>
      <c r="AR228" s="169">
        <f t="shared" si="166"/>
        <v>177.2204612076778</v>
      </c>
      <c r="AS228" s="168" t="str">
        <f t="shared" si="167"/>
        <v>0.0376716223864684+2.50558562606725i</v>
      </c>
      <c r="AT228" s="190">
        <f t="shared" si="168"/>
        <v>7.9791666033507713</v>
      </c>
      <c r="AU228" s="169">
        <f t="shared" si="169"/>
        <v>89.138619598418984</v>
      </c>
      <c r="AV228" s="225"/>
      <c r="AX228">
        <f t="shared" si="170"/>
        <v>0</v>
      </c>
      <c r="AY228">
        <f t="shared" si="171"/>
        <v>0</v>
      </c>
    </row>
    <row r="229" spans="14:51" x14ac:dyDescent="0.2">
      <c r="N229" s="170">
        <v>11</v>
      </c>
      <c r="O229" s="199">
        <f t="shared" si="172"/>
        <v>1288.2495516931347</v>
      </c>
      <c r="P229" s="189" t="str">
        <f t="shared" si="138"/>
        <v>771.276595744681</v>
      </c>
      <c r="Q229" s="160" t="str">
        <f t="shared" si="139"/>
        <v>1+8256.19686828257i</v>
      </c>
      <c r="R229" s="160">
        <f t="shared" si="147"/>
        <v>8256.196928843141</v>
      </c>
      <c r="S229" s="160">
        <f t="shared" si="148"/>
        <v>1.5706752056526729</v>
      </c>
      <c r="T229" s="160" t="str">
        <f t="shared" si="140"/>
        <v>1+0.00194263455724296i</v>
      </c>
      <c r="U229" s="160">
        <f t="shared" si="149"/>
        <v>1.0000018869127314</v>
      </c>
      <c r="V229" s="160">
        <f t="shared" si="150"/>
        <v>1.9426321135249357E-3</v>
      </c>
      <c r="W229" s="98" t="str">
        <f t="shared" si="141"/>
        <v>1-0.0055041312455217i</v>
      </c>
      <c r="X229" s="160">
        <f t="shared" si="151"/>
        <v>1.0000151476156587</v>
      </c>
      <c r="Y229" s="160">
        <f t="shared" si="152"/>
        <v>-5.5040756631346294E-3</v>
      </c>
      <c r="Z229" s="98" t="str">
        <f t="shared" si="142"/>
        <v>0.999336165237025-0.0376857529166113i</v>
      </c>
      <c r="AA229" s="160">
        <f t="shared" si="153"/>
        <v>1.0000464924809918</v>
      </c>
      <c r="AB229" s="160">
        <f t="shared" si="154"/>
        <v>-3.7692925672336598E-2</v>
      </c>
      <c r="AC229" s="171" t="str">
        <f t="shared" si="155"/>
        <v>0.00319908644497545-0.0933603563723353i</v>
      </c>
      <c r="AD229" s="190">
        <f t="shared" si="156"/>
        <v>-20.591653666837185</v>
      </c>
      <c r="AE229" s="169">
        <f t="shared" si="157"/>
        <v>-88.037470395582304</v>
      </c>
      <c r="AF229" s="98" t="str">
        <f t="shared" si="143"/>
        <v>-0.0000119284294234592</v>
      </c>
      <c r="AG229" s="98" t="str">
        <f t="shared" si="144"/>
        <v>0.0000453459471524437i</v>
      </c>
      <c r="AH229" s="98">
        <f t="shared" si="158"/>
        <v>4.5345947152443702E-5</v>
      </c>
      <c r="AI229" s="98">
        <f t="shared" si="159"/>
        <v>1.5707963267948966</v>
      </c>
      <c r="AJ229" s="98" t="str">
        <f t="shared" si="145"/>
        <v>1+0.0391610788615135i</v>
      </c>
      <c r="AK229" s="98">
        <f t="shared" si="160"/>
        <v>1.0007665012866875</v>
      </c>
      <c r="AL229" s="98">
        <f t="shared" si="161"/>
        <v>3.9141078247685368E-2</v>
      </c>
      <c r="AM229" s="98" t="str">
        <f t="shared" si="146"/>
        <v>1+99.7219072718051i</v>
      </c>
      <c r="AN229" s="98">
        <f t="shared" si="162"/>
        <v>99.72692108917478</v>
      </c>
      <c r="AO229" s="98">
        <f t="shared" si="163"/>
        <v>1.5607687760803681</v>
      </c>
      <c r="AP229" s="168" t="str">
        <f t="shared" si="164"/>
        <v>-26.1817856063822+1.28836089679666i</v>
      </c>
      <c r="AQ229" s="98">
        <f t="shared" si="165"/>
        <v>28.370488782132568</v>
      </c>
      <c r="AR229" s="169">
        <f t="shared" si="166"/>
        <v>177.18284507602041</v>
      </c>
      <c r="AS229" s="168" t="str">
        <f t="shared" si="167"/>
        <v>0.036524037022487+2.4484624125571i</v>
      </c>
      <c r="AT229" s="190">
        <f t="shared" si="168"/>
        <v>7.7788351152953883</v>
      </c>
      <c r="AU229" s="169">
        <f t="shared" si="169"/>
        <v>89.14537468043811</v>
      </c>
      <c r="AV229" s="225"/>
      <c r="AX229">
        <f t="shared" si="170"/>
        <v>0</v>
      </c>
      <c r="AY229">
        <f t="shared" si="171"/>
        <v>0</v>
      </c>
    </row>
    <row r="230" spans="14:51" x14ac:dyDescent="0.2">
      <c r="N230" s="170">
        <v>12</v>
      </c>
      <c r="O230" s="199">
        <f t="shared" si="172"/>
        <v>1318.2567385564089</v>
      </c>
      <c r="P230" s="189" t="str">
        <f t="shared" si="138"/>
        <v>771.276595744681</v>
      </c>
      <c r="Q230" s="160" t="str">
        <f t="shared" si="139"/>
        <v>1+8448.50839820387i</v>
      </c>
      <c r="R230" s="160">
        <f t="shared" si="147"/>
        <v>8448.5084573859149</v>
      </c>
      <c r="S230" s="160">
        <f t="shared" si="148"/>
        <v>1.5706779627064449</v>
      </c>
      <c r="T230" s="160" t="str">
        <f t="shared" si="140"/>
        <v>1+0.00198788432898915i</v>
      </c>
      <c r="U230" s="160">
        <f t="shared" si="149"/>
        <v>1.0000019758401009</v>
      </c>
      <c r="V230" s="160">
        <f t="shared" si="150"/>
        <v>1.9878817104983897E-3</v>
      </c>
      <c r="W230" s="98" t="str">
        <f t="shared" si="141"/>
        <v>1-0.00563233893213591i</v>
      </c>
      <c r="X230" s="160">
        <f t="shared" si="151"/>
        <v>1.0000158614951298</v>
      </c>
      <c r="Y230" s="160">
        <f t="shared" si="152"/>
        <v>-5.6322793745861525E-3</v>
      </c>
      <c r="Z230" s="98" t="str">
        <f t="shared" si="142"/>
        <v>0.9993048796685-0.0385635668683924i</v>
      </c>
      <c r="AA230" s="160">
        <f t="shared" si="153"/>
        <v>1.0000486944238707</v>
      </c>
      <c r="AB230" s="160">
        <f t="shared" si="154"/>
        <v>-3.8571252426655468E-2</v>
      </c>
      <c r="AC230" s="171" t="str">
        <f t="shared" si="155"/>
        <v>0.00319857533717435-0.0912325810145645i</v>
      </c>
      <c r="AD230" s="190">
        <f t="shared" si="156"/>
        <v>-20.791665815898298</v>
      </c>
      <c r="AE230" s="169">
        <f t="shared" si="157"/>
        <v>-87.992056867724287</v>
      </c>
      <c r="AF230" s="98" t="str">
        <f t="shared" si="143"/>
        <v>-0.0000119284294234592</v>
      </c>
      <c r="AG230" s="98" t="str">
        <f t="shared" si="144"/>
        <v>0.0000464021899494291i</v>
      </c>
      <c r="AH230" s="98">
        <f t="shared" si="158"/>
        <v>4.6402189949429098E-5</v>
      </c>
      <c r="AI230" s="98">
        <f t="shared" si="159"/>
        <v>1.5707963267948966</v>
      </c>
      <c r="AJ230" s="98" t="str">
        <f t="shared" si="145"/>
        <v>1+0.0400732575691408i</v>
      </c>
      <c r="AK230" s="98">
        <f t="shared" si="160"/>
        <v>1.0008026108939778</v>
      </c>
      <c r="AL230" s="98">
        <f t="shared" si="161"/>
        <v>4.0051827453448645E-2</v>
      </c>
      <c r="AM230" s="98" t="str">
        <f t="shared" si="146"/>
        <v>1+102.044728888109i</v>
      </c>
      <c r="AN230" s="98">
        <f t="shared" si="162"/>
        <v>102.04962858260517</v>
      </c>
      <c r="AO230" s="98">
        <f t="shared" si="163"/>
        <v>1.5609970162194107</v>
      </c>
      <c r="AP230" s="168" t="str">
        <f t="shared" si="164"/>
        <v>-26.1798963288553+1.30617981625685i</v>
      </c>
      <c r="AQ230" s="98">
        <f t="shared" si="165"/>
        <v>28.37015573023773</v>
      </c>
      <c r="AR230" s="169">
        <f t="shared" si="166"/>
        <v>177.14374018701795</v>
      </c>
      <c r="AS230" s="168" t="str">
        <f t="shared" si="167"/>
        <v>0.0354277851789842+2.39263742732139i</v>
      </c>
      <c r="AT230" s="190">
        <f t="shared" si="168"/>
        <v>7.5784899143394489</v>
      </c>
      <c r="AU230" s="169">
        <f t="shared" si="169"/>
        <v>89.151683319293667</v>
      </c>
      <c r="AV230" s="225"/>
      <c r="AX230">
        <f t="shared" si="170"/>
        <v>0</v>
      </c>
      <c r="AY230">
        <f t="shared" si="171"/>
        <v>0</v>
      </c>
    </row>
    <row r="231" spans="14:51" x14ac:dyDescent="0.2">
      <c r="N231" s="170">
        <v>13</v>
      </c>
      <c r="O231" s="199">
        <f t="shared" si="172"/>
        <v>1348.9628825916541</v>
      </c>
      <c r="P231" s="189" t="str">
        <f t="shared" si="138"/>
        <v>771.276595744681</v>
      </c>
      <c r="Q231" s="160" t="str">
        <f t="shared" si="139"/>
        <v>1+8645.29943910711i</v>
      </c>
      <c r="R231" s="160">
        <f t="shared" si="147"/>
        <v>8645.299496942007</v>
      </c>
      <c r="S231" s="160">
        <f t="shared" si="148"/>
        <v>1.5706806570020129</v>
      </c>
      <c r="T231" s="160" t="str">
        <f t="shared" si="140"/>
        <v>1+0.00203418810331932i</v>
      </c>
      <c r="U231" s="160">
        <f t="shared" si="149"/>
        <v>1.0000020689584794</v>
      </c>
      <c r="V231" s="160">
        <f t="shared" si="150"/>
        <v>2.0341852975562331E-3</v>
      </c>
      <c r="W231" s="98" t="str">
        <f t="shared" si="141"/>
        <v>1-0.00576353295940473i</v>
      </c>
      <c r="X231" s="160">
        <f t="shared" si="151"/>
        <v>1.0000166090181573</v>
      </c>
      <c r="Y231" s="160">
        <f t="shared" si="152"/>
        <v>-5.7634691423976373E-3</v>
      </c>
      <c r="Z231" s="98" t="str">
        <f t="shared" si="142"/>
        <v>0.999272119656556-0.0394618277337762i</v>
      </c>
      <c r="AA231" s="160">
        <f t="shared" si="153"/>
        <v>1.0000510011849379</v>
      </c>
      <c r="AB231" s="160">
        <f t="shared" si="154"/>
        <v>-3.9470062746916584E-2</v>
      </c>
      <c r="AC231" s="171" t="str">
        <f t="shared" si="155"/>
        <v>0.00319808705531169-0.0891531782076763i</v>
      </c>
      <c r="AD231" s="190">
        <f t="shared" si="156"/>
        <v>-20.99167854682171</v>
      </c>
      <c r="AE231" s="169">
        <f t="shared" si="157"/>
        <v>-87.945576821451482</v>
      </c>
      <c r="AF231" s="98" t="str">
        <f t="shared" si="143"/>
        <v>-0.0000119284294234592</v>
      </c>
      <c r="AG231" s="98" t="str">
        <f t="shared" si="144"/>
        <v>0.0000474830358017312i</v>
      </c>
      <c r="AH231" s="98">
        <f t="shared" si="158"/>
        <v>4.7483035801731201E-5</v>
      </c>
      <c r="AI231" s="98">
        <f t="shared" si="159"/>
        <v>1.5707963267948966</v>
      </c>
      <c r="AJ231" s="98" t="str">
        <f t="shared" si="145"/>
        <v>1+0.0410066836483634i</v>
      </c>
      <c r="AK231" s="98">
        <f t="shared" si="160"/>
        <v>1.0008404208982753</v>
      </c>
      <c r="AL231" s="98">
        <f t="shared" si="161"/>
        <v>4.0983721906967543E-2</v>
      </c>
      <c r="AM231" s="98" t="str">
        <f t="shared" si="146"/>
        <v>1+104.421655970392i</v>
      </c>
      <c r="AN231" s="98">
        <f t="shared" si="162"/>
        <v>104.42644413939843</v>
      </c>
      <c r="AO231" s="98">
        <f t="shared" si="163"/>
        <v>1.5612200619651764</v>
      </c>
      <c r="AP231" s="168" t="str">
        <f t="shared" si="164"/>
        <v>-26.1779183046382+1.32468416347786i</v>
      </c>
      <c r="AQ231" s="98">
        <f t="shared" si="165"/>
        <v>28.369808817058807</v>
      </c>
      <c r="AR231" s="169">
        <f t="shared" si="166"/>
        <v>177.10312614775037</v>
      </c>
      <c r="AS231" s="168" t="str">
        <f t="shared" si="167"/>
        <v>0.0343805416303579+2.338081070995i</v>
      </c>
      <c r="AT231" s="190">
        <f t="shared" si="168"/>
        <v>7.3781302702371132</v>
      </c>
      <c r="AU231" s="169">
        <f t="shared" si="169"/>
        <v>89.157549326298906</v>
      </c>
      <c r="AV231" s="225"/>
      <c r="AX231">
        <f t="shared" si="170"/>
        <v>0</v>
      </c>
      <c r="AY231">
        <f t="shared" si="171"/>
        <v>0</v>
      </c>
    </row>
    <row r="232" spans="14:51" x14ac:dyDescent="0.2">
      <c r="N232" s="170">
        <v>14</v>
      </c>
      <c r="O232" s="199">
        <f t="shared" si="172"/>
        <v>1380.3842646028863</v>
      </c>
      <c r="P232" s="189" t="str">
        <f t="shared" si="138"/>
        <v>771.276595744681</v>
      </c>
      <c r="Q232" s="160" t="str">
        <f t="shared" si="139"/>
        <v>1+8846.67433220705i</v>
      </c>
      <c r="R232" s="160">
        <f t="shared" si="147"/>
        <v>8846.6743887254634</v>
      </c>
      <c r="S232" s="160">
        <f t="shared" si="148"/>
        <v>1.5706832899679275</v>
      </c>
      <c r="T232" s="160" t="str">
        <f t="shared" si="140"/>
        <v>1+0.00208157043110754i</v>
      </c>
      <c r="U232" s="160">
        <f t="shared" si="149"/>
        <v>1.0000021664653831</v>
      </c>
      <c r="V232" s="160">
        <f t="shared" si="150"/>
        <v>2.0815674246785782E-3</v>
      </c>
      <c r="W232" s="98" t="str">
        <f t="shared" si="141"/>
        <v>1-0.00589778288813802i</v>
      </c>
      <c r="X232" s="160">
        <f t="shared" si="151"/>
        <v>1.0000173917702611</v>
      </c>
      <c r="Y232" s="160">
        <f t="shared" si="152"/>
        <v>-5.8977145070471474E-3</v>
      </c>
      <c r="Z232" s="98" t="str">
        <f t="shared" si="142"/>
        <v>0.999237815712815-0.0403810117825635i</v>
      </c>
      <c r="AA232" s="160">
        <f t="shared" si="153"/>
        <v>1.0000534178048197</v>
      </c>
      <c r="AB232" s="160">
        <f t="shared" si="154"/>
        <v>-4.0389835521470262E-2</v>
      </c>
      <c r="AC232" s="171" t="str">
        <f t="shared" si="155"/>
        <v>0.00319762056273262-0.0871210454133061i</v>
      </c>
      <c r="AD232" s="190">
        <f t="shared" si="156"/>
        <v>-21.191691887889039</v>
      </c>
      <c r="AE232" s="169">
        <f t="shared" si="157"/>
        <v>-87.898005478098185</v>
      </c>
      <c r="AF232" s="98" t="str">
        <f t="shared" si="143"/>
        <v>-0.0000119284294234592</v>
      </c>
      <c r="AG232" s="98" t="str">
        <f t="shared" si="144"/>
        <v>0.0000485890577881278i</v>
      </c>
      <c r="AH232" s="98">
        <f t="shared" si="158"/>
        <v>4.8589057788127797E-5</v>
      </c>
      <c r="AI232" s="98">
        <f t="shared" si="159"/>
        <v>1.5707963267948966</v>
      </c>
      <c r="AJ232" s="98" t="str">
        <f t="shared" si="145"/>
        <v>1+0.0419618520140441i</v>
      </c>
      <c r="AK232" s="98">
        <f t="shared" si="160"/>
        <v>1.0008800113022782</v>
      </c>
      <c r="AL232" s="98">
        <f t="shared" si="161"/>
        <v>4.1937249233064834E-2</v>
      </c>
      <c r="AM232" s="98" t="str">
        <f t="shared" si="146"/>
        <v>1+106.853948796854i</v>
      </c>
      <c r="AN232" s="98">
        <f t="shared" si="162"/>
        <v>106.85862797865552</v>
      </c>
      <c r="AO232" s="98">
        <f t="shared" si="163"/>
        <v>1.5614380314906493</v>
      </c>
      <c r="AP232" s="168" t="str">
        <f t="shared" si="164"/>
        <v>-26.1758473793478+1.34388324178999i</v>
      </c>
      <c r="AQ232" s="98">
        <f t="shared" si="165"/>
        <v>28.369447310182832</v>
      </c>
      <c r="AR232" s="169">
        <f t="shared" si="166"/>
        <v>177.06098179018667</v>
      </c>
      <c r="AS232" s="168" t="str">
        <f t="shared" si="167"/>
        <v>0.0333800851110135+2.28476441695579i</v>
      </c>
      <c r="AT232" s="190">
        <f t="shared" si="168"/>
        <v>7.1777554222937967</v>
      </c>
      <c r="AU232" s="169">
        <f t="shared" si="169"/>
        <v>89.162976312088475</v>
      </c>
      <c r="AV232" s="225"/>
      <c r="AX232">
        <f t="shared" si="170"/>
        <v>0</v>
      </c>
      <c r="AY232">
        <f t="shared" si="171"/>
        <v>0</v>
      </c>
    </row>
    <row r="233" spans="14:51" x14ac:dyDescent="0.2">
      <c r="N233" s="170">
        <v>15</v>
      </c>
      <c r="O233" s="199">
        <f t="shared" si="172"/>
        <v>1412.5375446227545</v>
      </c>
      <c r="P233" s="189" t="str">
        <f t="shared" si="138"/>
        <v>771.276595744681</v>
      </c>
      <c r="Q233" s="160" t="str">
        <f t="shared" si="139"/>
        <v>1+9052.73984913748i</v>
      </c>
      <c r="R233" s="160">
        <f t="shared" si="147"/>
        <v>9052.7399043693767</v>
      </c>
      <c r="S233" s="160">
        <f t="shared" si="148"/>
        <v>1.5706858630002225</v>
      </c>
      <c r="T233" s="160" t="str">
        <f t="shared" si="140"/>
        <v>1+0.00213005643509117i</v>
      </c>
      <c r="U233" s="160">
        <f t="shared" si="149"/>
        <v>1.0000022685676351</v>
      </c>
      <c r="V233" s="160">
        <f t="shared" si="150"/>
        <v>2.1300532136448928E-3</v>
      </c>
      <c r="W233" s="98" t="str">
        <f t="shared" si="141"/>
        <v>1-0.00603515989942498i</v>
      </c>
      <c r="X233" s="160">
        <f t="shared" si="151"/>
        <v>1.000018211411678</v>
      </c>
      <c r="Y233" s="160">
        <f t="shared" si="152"/>
        <v>-6.0350866278380639E-3</v>
      </c>
      <c r="Z233" s="98" t="str">
        <f t="shared" si="142"/>
        <v>0.999201895074012-0.0413216063783038i</v>
      </c>
      <c r="AA233" s="160">
        <f t="shared" si="153"/>
        <v>1.0000559495714128</v>
      </c>
      <c r="AB233" s="160">
        <f t="shared" si="154"/>
        <v>-4.1331060919350522E-2</v>
      </c>
      <c r="AC233" s="171" t="str">
        <f t="shared" si="155"/>
        <v>0.00319717486890931-0.0851351051554092i</v>
      </c>
      <c r="AD233" s="190">
        <f t="shared" si="156"/>
        <v>-21.391705868799185</v>
      </c>
      <c r="AE233" s="169">
        <f t="shared" si="157"/>
        <v>-87.84931747079014</v>
      </c>
      <c r="AF233" s="98" t="str">
        <f t="shared" si="143"/>
        <v>-0.0000119284294234592</v>
      </c>
      <c r="AG233" s="98" t="str">
        <f t="shared" si="144"/>
        <v>0.0000497208423361157i</v>
      </c>
      <c r="AH233" s="98">
        <f t="shared" si="158"/>
        <v>4.9720842336115699E-5</v>
      </c>
      <c r="AI233" s="98">
        <f t="shared" si="159"/>
        <v>1.5707963267948966</v>
      </c>
      <c r="AJ233" s="98" t="str">
        <f t="shared" si="145"/>
        <v>1+0.0429392691090934i</v>
      </c>
      <c r="AK233" s="98">
        <f t="shared" si="160"/>
        <v>1.0009214658661403</v>
      </c>
      <c r="AL233" s="98">
        <f t="shared" si="161"/>
        <v>4.291290806491118E-2</v>
      </c>
      <c r="AM233" s="98" t="str">
        <f t="shared" si="146"/>
        <v>1+109.342897001347i</v>
      </c>
      <c r="AN233" s="98">
        <f t="shared" si="162"/>
        <v>109.347469676473</v>
      </c>
      <c r="AO233" s="98">
        <f t="shared" si="163"/>
        <v>1.5616510402832624</v>
      </c>
      <c r="AP233" s="168" t="str">
        <f t="shared" si="164"/>
        <v>-26.1736792055135+1.36378668676381i</v>
      </c>
      <c r="AQ233" s="98">
        <f t="shared" si="165"/>
        <v>28.369070446570458</v>
      </c>
      <c r="AR233" s="169">
        <f t="shared" si="166"/>
        <v>177.01728516169311</v>
      </c>
      <c r="AS233" s="168" t="str">
        <f t="shared" si="167"/>
        <v>0.0324242936044221+2.23265919598681i</v>
      </c>
      <c r="AT233" s="190">
        <f t="shared" si="168"/>
        <v>6.9773645777712545</v>
      </c>
      <c r="AU233" s="169">
        <f t="shared" si="169"/>
        <v>89.167967690902984</v>
      </c>
      <c r="AV233" s="225"/>
      <c r="AX233">
        <f t="shared" si="170"/>
        <v>0</v>
      </c>
      <c r="AY233">
        <f t="shared" si="171"/>
        <v>0</v>
      </c>
    </row>
    <row r="234" spans="14:51" x14ac:dyDescent="0.2">
      <c r="N234" s="170">
        <v>16</v>
      </c>
      <c r="O234" s="199">
        <f t="shared" si="172"/>
        <v>1445.4397707459289</v>
      </c>
      <c r="P234" s="189" t="str">
        <f t="shared" si="138"/>
        <v>771.276595744681</v>
      </c>
      <c r="Q234" s="160" t="str">
        <f t="shared" si="139"/>
        <v>1+9263.60524856313i</v>
      </c>
      <c r="R234" s="160">
        <f t="shared" si="147"/>
        <v>9263.6053025377951</v>
      </c>
      <c r="S234" s="160">
        <f t="shared" si="148"/>
        <v>1.5706883774631533</v>
      </c>
      <c r="T234" s="160" t="str">
        <f t="shared" si="140"/>
        <v>1+0.00217967182319132i</v>
      </c>
      <c r="U234" s="160">
        <f t="shared" si="149"/>
        <v>1.000002375481807</v>
      </c>
      <c r="V234" s="160">
        <f t="shared" si="150"/>
        <v>2.1796683713498858E-3</v>
      </c>
      <c r="W234" s="98" t="str">
        <f t="shared" si="141"/>
        <v>1-0.00617573683237541i</v>
      </c>
      <c r="X234" s="160">
        <f t="shared" si="151"/>
        <v>1.0000190696808851</v>
      </c>
      <c r="Y234" s="160">
        <f t="shared" si="152"/>
        <v>-6.1756583205363645E-3</v>
      </c>
      <c r="Z234" s="98" t="str">
        <f t="shared" si="142"/>
        <v>0.999164281547658-0.042284110236702i</v>
      </c>
      <c r="AA234" s="160">
        <f t="shared" si="153"/>
        <v>1.0000586020324795</v>
      </c>
      <c r="AB234" s="160">
        <f t="shared" si="154"/>
        <v>-4.2294240662009291E-2</v>
      </c>
      <c r="AC234" s="171" t="str">
        <f t="shared" si="155"/>
        <v>0.00319674902733103-0.0831943044489074i</v>
      </c>
      <c r="AD234" s="190">
        <f t="shared" si="156"/>
        <v>-21.591720520743483</v>
      </c>
      <c r="AE234" s="169">
        <f t="shared" si="157"/>
        <v>-87.79948683031121</v>
      </c>
      <c r="AF234" s="98" t="str">
        <f t="shared" si="143"/>
        <v>-0.0000119284294234592</v>
      </c>
      <c r="AG234" s="98" t="str">
        <f t="shared" si="144"/>
        <v>0.0000508789895328435i</v>
      </c>
      <c r="AH234" s="98">
        <f t="shared" si="158"/>
        <v>5.0878989532843499E-5</v>
      </c>
      <c r="AI234" s="98">
        <f t="shared" si="159"/>
        <v>1.5707963267948966</v>
      </c>
      <c r="AJ234" s="98" t="str">
        <f t="shared" si="145"/>
        <v>1+0.0439394531729927i</v>
      </c>
      <c r="AK234" s="98">
        <f t="shared" si="160"/>
        <v>1.0009648722833093</v>
      </c>
      <c r="AL234" s="98">
        <f t="shared" si="161"/>
        <v>4.3911208275584028E-2</v>
      </c>
      <c r="AM234" s="98" t="str">
        <f t="shared" si="146"/>
        <v>1+111.889820257155i</v>
      </c>
      <c r="AN234" s="98">
        <f t="shared" si="162"/>
        <v>111.89428884969266</v>
      </c>
      <c r="AO234" s="98">
        <f t="shared" si="163"/>
        <v>1.5618592012057346</v>
      </c>
      <c r="AP234" s="168" t="str">
        <f t="shared" si="164"/>
        <v>-26.1714092337363+1.38440446876176i</v>
      </c>
      <c r="AQ234" s="98">
        <f t="shared" si="165"/>
        <v>28.368677430969186</v>
      </c>
      <c r="AR234" s="169">
        <f t="shared" si="166"/>
        <v>176.97201351525175</v>
      </c>
      <c r="AS234" s="168" t="str">
        <f t="shared" si="167"/>
        <v>0.0315111398427649+2.18173778128735i</v>
      </c>
      <c r="AT234" s="190">
        <f t="shared" si="168"/>
        <v>6.7769569102256977</v>
      </c>
      <c r="AU234" s="169">
        <f t="shared" si="169"/>
        <v>89.172526684940536</v>
      </c>
      <c r="AV234" s="225"/>
      <c r="AX234">
        <f t="shared" si="170"/>
        <v>0</v>
      </c>
      <c r="AY234">
        <f t="shared" si="171"/>
        <v>0</v>
      </c>
    </row>
    <row r="235" spans="14:51" x14ac:dyDescent="0.2">
      <c r="N235" s="170">
        <v>17</v>
      </c>
      <c r="O235" s="199">
        <f t="shared" si="172"/>
        <v>1479.1083881682086</v>
      </c>
      <c r="P235" s="189" t="str">
        <f t="shared" si="138"/>
        <v>771.276595744681</v>
      </c>
      <c r="Q235" s="160" t="str">
        <f t="shared" si="139"/>
        <v>1+9479.38233410986i</v>
      </c>
      <c r="R235" s="160">
        <f t="shared" si="147"/>
        <v>9479.382386855912</v>
      </c>
      <c r="S235" s="160">
        <f t="shared" si="148"/>
        <v>1.5706908346899213</v>
      </c>
      <c r="T235" s="160" t="str">
        <f t="shared" si="140"/>
        <v>1+0.00223044290214349i</v>
      </c>
      <c r="U235" s="160">
        <f t="shared" si="149"/>
        <v>1.0000024874346762</v>
      </c>
      <c r="V235" s="160">
        <f t="shared" si="150"/>
        <v>2.2304392034292516E-3</v>
      </c>
      <c r="W235" s="98" t="str">
        <f t="shared" si="141"/>
        <v>1-0.0063195882227399i</v>
      </c>
      <c r="X235" s="160">
        <f t="shared" si="151"/>
        <v>1.000019968398284</v>
      </c>
      <c r="Y235" s="160">
        <f t="shared" si="152"/>
        <v>-6.3195040958793991E-3</v>
      </c>
      <c r="Z235" s="98" t="str">
        <f t="shared" si="142"/>
        <v>0.99912489535042-0.0432690336900441i</v>
      </c>
      <c r="AA235" s="160">
        <f t="shared" si="153"/>
        <v>1.0000613810089147</v>
      </c>
      <c r="AB235" s="160">
        <f t="shared" si="154"/>
        <v>-4.3279888302018218E-2</v>
      </c>
      <c r="AC235" s="171" t="str">
        <f t="shared" si="155"/>
        <v>0.00319634213348694-0.0812976142413218i</v>
      </c>
      <c r="AD235" s="190">
        <f t="shared" si="156"/>
        <v>-21.791735876484672</v>
      </c>
      <c r="AE235" s="169">
        <f t="shared" si="157"/>
        <v>-87.748486970602201</v>
      </c>
      <c r="AF235" s="98" t="str">
        <f t="shared" si="143"/>
        <v>-0.0000119284294234592</v>
      </c>
      <c r="AG235" s="98" t="str">
        <f t="shared" si="144"/>
        <v>0.0000520641134432846i</v>
      </c>
      <c r="AH235" s="98">
        <f t="shared" si="158"/>
        <v>5.20641134432846E-5</v>
      </c>
      <c r="AI235" s="98">
        <f t="shared" si="159"/>
        <v>1.5707963267948966</v>
      </c>
      <c r="AJ235" s="98" t="str">
        <f t="shared" si="145"/>
        <v>1+0.0449629345165718i</v>
      </c>
      <c r="AK235" s="98">
        <f t="shared" si="160"/>
        <v>1.0010103223645306</v>
      </c>
      <c r="AL235" s="98">
        <f t="shared" si="161"/>
        <v>4.4932671213261985E-2</v>
      </c>
      <c r="AM235" s="98" t="str">
        <f t="shared" si="146"/>
        <v>1+114.496068976699i</v>
      </c>
      <c r="AN235" s="98">
        <f t="shared" si="162"/>
        <v>114.5004358555766</v>
      </c>
      <c r="AO235" s="98">
        <f t="shared" si="163"/>
        <v>1.562062624555542</v>
      </c>
      <c r="AP235" s="168" t="str">
        <f t="shared" si="164"/>
        <v>-26.169032703455+1.4057468954874i</v>
      </c>
      <c r="AQ235" s="98">
        <f t="shared" si="165"/>
        <v>28.368267434261028</v>
      </c>
      <c r="AR235" s="169">
        <f t="shared" si="166"/>
        <v>176.92514329939215</v>
      </c>
      <c r="AS235" s="168" t="str">
        <f t="shared" si="167"/>
        <v>0.0306386870076195+2.13197317382508i</v>
      </c>
      <c r="AT235" s="190">
        <f t="shared" si="168"/>
        <v>6.5765315577763399</v>
      </c>
      <c r="AU235" s="169">
        <f t="shared" si="169"/>
        <v>89.176656328789932</v>
      </c>
      <c r="AV235" s="225"/>
      <c r="AX235">
        <f t="shared" si="170"/>
        <v>0</v>
      </c>
      <c r="AY235">
        <f t="shared" si="171"/>
        <v>0</v>
      </c>
    </row>
    <row r="236" spans="14:51" x14ac:dyDescent="0.2">
      <c r="N236" s="170">
        <v>18</v>
      </c>
      <c r="O236" s="199">
        <f t="shared" si="172"/>
        <v>1513.5612484362093</v>
      </c>
      <c r="P236" s="189" t="str">
        <f t="shared" si="138"/>
        <v>771.276595744681</v>
      </c>
      <c r="Q236" s="160" t="str">
        <f t="shared" si="139"/>
        <v>1+9700.1855136446i</v>
      </c>
      <c r="R236" s="160">
        <f t="shared" si="147"/>
        <v>9700.1855651900059</v>
      </c>
      <c r="S236" s="160">
        <f t="shared" si="148"/>
        <v>1.5706932359833805</v>
      </c>
      <c r="T236" s="160" t="str">
        <f t="shared" si="140"/>
        <v>1+0.00228239659144579i</v>
      </c>
      <c r="U236" s="160">
        <f t="shared" si="149"/>
        <v>1.0000026046637083</v>
      </c>
      <c r="V236" s="160">
        <f t="shared" si="150"/>
        <v>2.2823926282026365E-3</v>
      </c>
      <c r="W236" s="98" t="str">
        <f t="shared" si="141"/>
        <v>1-0.00646679034242972i</v>
      </c>
      <c r="X236" s="160">
        <f t="shared" si="151"/>
        <v>1.0000209094700636</v>
      </c>
      <c r="Y236" s="160">
        <f t="shared" si="152"/>
        <v>-6.466700198976401E-3</v>
      </c>
      <c r="Z236" s="98" t="str">
        <f t="shared" si="142"/>
        <v>0.999083652938893-0.0442768989577819i</v>
      </c>
      <c r="AA236" s="160">
        <f t="shared" si="153"/>
        <v>1.0000642926087502</v>
      </c>
      <c r="AB236" s="160">
        <f t="shared" si="154"/>
        <v>-4.4288529508944241E-2</v>
      </c>
      <c r="AC236" s="171" t="str">
        <f t="shared" si="155"/>
        <v>0.00319595332293685-0.0794440288670867i</v>
      </c>
      <c r="AD236" s="190">
        <f t="shared" si="156"/>
        <v>-21.991751970440848</v>
      </c>
      <c r="AE236" s="169">
        <f t="shared" si="157"/>
        <v>-87.696290673880426</v>
      </c>
      <c r="AF236" s="98" t="str">
        <f t="shared" si="143"/>
        <v>-0.0000119284294234592</v>
      </c>
      <c r="AG236" s="98" t="str">
        <f t="shared" si="144"/>
        <v>0.0000532768424358233i</v>
      </c>
      <c r="AH236" s="98">
        <f t="shared" si="158"/>
        <v>5.3276842435823299E-5</v>
      </c>
      <c r="AI236" s="98">
        <f t="shared" si="159"/>
        <v>1.5707963267948966</v>
      </c>
      <c r="AJ236" s="98" t="str">
        <f t="shared" si="145"/>
        <v>1+0.0460102558031864i</v>
      </c>
      <c r="AK236" s="98">
        <f t="shared" si="160"/>
        <v>1.0010579122303938</v>
      </c>
      <c r="AL236" s="98">
        <f t="shared" si="161"/>
        <v>4.5977829940016E-2</v>
      </c>
      <c r="AM236" s="98" t="str">
        <f t="shared" si="146"/>
        <v>1+117.16302502755i</v>
      </c>
      <c r="AN236" s="98">
        <f t="shared" si="162"/>
        <v>117.16729250779122</v>
      </c>
      <c r="AO236" s="98">
        <f t="shared" si="163"/>
        <v>1.5622614181230559</v>
      </c>
      <c r="AP236" s="168" t="str">
        <f t="shared" si="164"/>
        <v>-26.1665446333075+1.42782461452136i</v>
      </c>
      <c r="AQ236" s="98">
        <f t="shared" si="165"/>
        <v>28.367839591742609</v>
      </c>
      <c r="AR236" s="169">
        <f t="shared" si="166"/>
        <v>176.87665014784079</v>
      </c>
      <c r="AS236" s="168" t="str">
        <f t="shared" si="167"/>
        <v>0.0298050846225774+2.08333898802174i</v>
      </c>
      <c r="AT236" s="190">
        <f t="shared" si="168"/>
        <v>6.3760876213017461</v>
      </c>
      <c r="AU236" s="169">
        <f t="shared" si="169"/>
        <v>89.180359473960365</v>
      </c>
      <c r="AV236" s="225"/>
      <c r="AX236">
        <f t="shared" si="170"/>
        <v>0</v>
      </c>
      <c r="AY236">
        <f t="shared" si="171"/>
        <v>0</v>
      </c>
    </row>
    <row r="237" spans="14:51" x14ac:dyDescent="0.2">
      <c r="N237" s="170">
        <v>19</v>
      </c>
      <c r="O237" s="199">
        <f t="shared" si="172"/>
        <v>1548.8166189124822</v>
      </c>
      <c r="P237" s="189" t="str">
        <f t="shared" si="138"/>
        <v>771.276595744681</v>
      </c>
      <c r="Q237" s="160" t="str">
        <f t="shared" si="139"/>
        <v>1+9926.1318599358i</v>
      </c>
      <c r="R237" s="160">
        <f t="shared" si="147"/>
        <v>9926.1319103078877</v>
      </c>
      <c r="S237" s="160">
        <f t="shared" si="148"/>
        <v>1.5706955826167286</v>
      </c>
      <c r="T237" s="160" t="str">
        <f t="shared" si="140"/>
        <v>1+0.00233556043763195i</v>
      </c>
      <c r="U237" s="160">
        <f t="shared" si="149"/>
        <v>1.0000027274175596</v>
      </c>
      <c r="V237" s="160">
        <f t="shared" si="150"/>
        <v>2.3355561909410255E-3</v>
      </c>
      <c r="W237" s="98" t="str">
        <f t="shared" si="141"/>
        <v>1-0.00661742123995719i</v>
      </c>
      <c r="X237" s="160">
        <f t="shared" si="151"/>
        <v>1.0000218948922404</v>
      </c>
      <c r="Y237" s="160">
        <f t="shared" si="152"/>
        <v>-6.6173246496209343E-3</v>
      </c>
      <c r="Z237" s="98" t="str">
        <f t="shared" si="142"/>
        <v>0.999040466832392-0.0453082404234213i</v>
      </c>
      <c r="AA237" s="160">
        <f t="shared" si="153"/>
        <v>1.0000673432419189</v>
      </c>
      <c r="AB237" s="160">
        <f t="shared" si="154"/>
        <v>-4.5320702362616233E-2</v>
      </c>
      <c r="AC237" s="171" t="str">
        <f t="shared" si="155"/>
        <v>0.00319558176946619-0.077632565514261i</v>
      </c>
      <c r="AD237" s="190">
        <f t="shared" si="156"/>
        <v>-22.191768838773982</v>
      </c>
      <c r="AE237" s="169">
        <f t="shared" si="157"/>
        <v>-87.642870075368549</v>
      </c>
      <c r="AF237" s="98" t="str">
        <f t="shared" si="143"/>
        <v>-0.0000119284294234592</v>
      </c>
      <c r="AG237" s="98" t="str">
        <f t="shared" si="144"/>
        <v>0.0000545178195154239i</v>
      </c>
      <c r="AH237" s="98">
        <f t="shared" si="158"/>
        <v>5.4517819515423899E-5</v>
      </c>
      <c r="AI237" s="98">
        <f t="shared" si="159"/>
        <v>1.5707963267948966</v>
      </c>
      <c r="AJ237" s="98" t="str">
        <f t="shared" si="145"/>
        <v>1+0.0470819723364455i</v>
      </c>
      <c r="AK237" s="98">
        <f t="shared" si="160"/>
        <v>1.0011077425128077</v>
      </c>
      <c r="AL237" s="98">
        <f t="shared" si="161"/>
        <v>4.7047229474150298E-2</v>
      </c>
      <c r="AM237" s="98" t="str">
        <f t="shared" si="146"/>
        <v>1+119.892102465107i</v>
      </c>
      <c r="AN237" s="98">
        <f t="shared" si="162"/>
        <v>119.89627280905658</v>
      </c>
      <c r="AO237" s="98">
        <f t="shared" si="163"/>
        <v>1.5624556872483721</v>
      </c>
      <c r="AP237" s="168" t="str">
        <f t="shared" si="164"/>
        <v>-26.1639398110633+1.45064861583171i</v>
      </c>
      <c r="AQ237" s="98">
        <f t="shared" si="165"/>
        <v>28.367393001332111</v>
      </c>
      <c r="AR237" s="169">
        <f t="shared" si="166"/>
        <v>176.82650886889192</v>
      </c>
      <c r="AS237" s="168" t="str">
        <f t="shared" si="167"/>
        <v>0.0290085646290827+2.03580943776421i</v>
      </c>
      <c r="AT237" s="190">
        <f t="shared" si="168"/>
        <v>6.1756241625581465</v>
      </c>
      <c r="AU237" s="169">
        <f t="shared" si="169"/>
        <v>89.183638793523372</v>
      </c>
      <c r="AV237" s="225"/>
      <c r="AX237">
        <f t="shared" si="170"/>
        <v>0</v>
      </c>
      <c r="AY237">
        <f t="shared" si="171"/>
        <v>0</v>
      </c>
    </row>
    <row r="238" spans="14:51" x14ac:dyDescent="0.2">
      <c r="N238" s="170">
        <v>20</v>
      </c>
      <c r="O238" s="199">
        <f t="shared" si="172"/>
        <v>1584.8931924611156</v>
      </c>
      <c r="P238" s="189" t="str">
        <f t="shared" si="138"/>
        <v>771.276595744681</v>
      </c>
      <c r="Q238" s="160" t="str">
        <f t="shared" si="139"/>
        <v>1+10157.341172727i</v>
      </c>
      <c r="R238" s="160">
        <f t="shared" si="147"/>
        <v>10157.34122195248</v>
      </c>
      <c r="S238" s="160">
        <f t="shared" si="148"/>
        <v>1.5706978758341812</v>
      </c>
      <c r="T238" s="160" t="str">
        <f t="shared" si="140"/>
        <v>1+0.00238996262887695i</v>
      </c>
      <c r="U238" s="160">
        <f t="shared" si="149"/>
        <v>1.0000028559566054</v>
      </c>
      <c r="V238" s="160">
        <f t="shared" si="150"/>
        <v>2.3899580784663426E-3</v>
      </c>
      <c r="W238" s="98" t="str">
        <f t="shared" si="141"/>
        <v>1-0.00677156078181802i</v>
      </c>
      <c r="X238" s="160">
        <f t="shared" si="151"/>
        <v>1.0000229267548928</v>
      </c>
      <c r="Y238" s="160">
        <f t="shared" si="152"/>
        <v>-6.771457283536177E-3</v>
      </c>
      <c r="Z238" s="98" t="str">
        <f t="shared" si="142"/>
        <v>0.998995245427396-0.0463636049178586i</v>
      </c>
      <c r="AA238" s="160">
        <f t="shared" si="153"/>
        <v>1.0000705396358411</v>
      </c>
      <c r="AB238" s="160">
        <f t="shared" si="154"/>
        <v>-4.6376957654003598E-2</v>
      </c>
      <c r="AC238" s="171" t="str">
        <f t="shared" si="155"/>
        <v>0.00319522668332068-0.0758622637033498i</v>
      </c>
      <c r="AD238" s="190">
        <f t="shared" si="156"/>
        <v>-22.391786519483926</v>
      </c>
      <c r="AE238" s="169">
        <f t="shared" si="157"/>
        <v>-87.588196647621089</v>
      </c>
      <c r="AF238" s="98" t="str">
        <f t="shared" si="143"/>
        <v>-0.0000119284294234592</v>
      </c>
      <c r="AG238" s="98" t="str">
        <f t="shared" si="144"/>
        <v>0.0000557877026645602i</v>
      </c>
      <c r="AH238" s="98">
        <f t="shared" si="158"/>
        <v>5.5787702664560197E-5</v>
      </c>
      <c r="AI238" s="98">
        <f t="shared" si="159"/>
        <v>1.5707963267948966</v>
      </c>
      <c r="AJ238" s="98" t="str">
        <f t="shared" si="145"/>
        <v>1+0.048178652354641i</v>
      </c>
      <c r="AK238" s="98">
        <f t="shared" si="160"/>
        <v>1.0011599185658151</v>
      </c>
      <c r="AL238" s="98">
        <f t="shared" si="161"/>
        <v>4.8141427036034405E-2</v>
      </c>
      <c r="AM238" s="98" t="str">
        <f t="shared" si="146"/>
        <v>1+122.68474828235i</v>
      </c>
      <c r="AN238" s="98">
        <f t="shared" si="162"/>
        <v>122.68882370087171</v>
      </c>
      <c r="AO238" s="98">
        <f t="shared" si="163"/>
        <v>1.5626455348768642</v>
      </c>
      <c r="AP238" s="168" t="str">
        <f t="shared" si="164"/>
        <v>-26.1612127831174+1.47423023424617i</v>
      </c>
      <c r="AQ238" s="98">
        <f t="shared" si="165"/>
        <v>28.366926721701972</v>
      </c>
      <c r="AR238" s="169">
        <f t="shared" si="166"/>
        <v>176.77469343450565</v>
      </c>
      <c r="AS238" s="168" t="str">
        <f t="shared" si="167"/>
        <v>0.0282474376371873+1.98935932273412i</v>
      </c>
      <c r="AT238" s="190">
        <f t="shared" si="168"/>
        <v>5.97514020221805</v>
      </c>
      <c r="AU238" s="169">
        <f t="shared" si="169"/>
        <v>89.186496786884589</v>
      </c>
      <c r="AV238" s="225"/>
      <c r="AX238">
        <f t="shared" si="170"/>
        <v>0</v>
      </c>
      <c r="AY238">
        <f t="shared" si="171"/>
        <v>0</v>
      </c>
    </row>
    <row r="239" spans="14:51" x14ac:dyDescent="0.2">
      <c r="N239" s="170">
        <v>21</v>
      </c>
      <c r="O239" s="199">
        <f t="shared" si="172"/>
        <v>1621.8100973589308</v>
      </c>
      <c r="P239" s="189" t="str">
        <f t="shared" si="138"/>
        <v>771.276595744681</v>
      </c>
      <c r="Q239" s="160" t="str">
        <f t="shared" si="139"/>
        <v>1+10393.9360422563i</v>
      </c>
      <c r="R239" s="160">
        <f t="shared" si="147"/>
        <v>10393.936090361271</v>
      </c>
      <c r="S239" s="160">
        <f t="shared" si="148"/>
        <v>1.5707001168516326</v>
      </c>
      <c r="T239" s="160" t="str">
        <f t="shared" si="140"/>
        <v>1+0.00244563200994266i</v>
      </c>
      <c r="U239" s="160">
        <f t="shared" si="149"/>
        <v>1.0000029905534924</v>
      </c>
      <c r="V239" s="160">
        <f t="shared" si="150"/>
        <v>2.445627134090635E-3</v>
      </c>
      <c r="W239" s="98" t="str">
        <f t="shared" si="141"/>
        <v>1-0.00692929069483754i</v>
      </c>
      <c r="X239" s="160">
        <f t="shared" si="151"/>
        <v>1.0000240072465929</v>
      </c>
      <c r="Y239" s="160">
        <f t="shared" si="152"/>
        <v>-6.9291797945742759E-3</v>
      </c>
      <c r="Z239" s="98" t="str">
        <f t="shared" si="142"/>
        <v>0.998947892803242-0.0474435520093181i</v>
      </c>
      <c r="AA239" s="160">
        <f t="shared" si="153"/>
        <v>1.0000738888518679</v>
      </c>
      <c r="AB239" s="160">
        <f t="shared" si="154"/>
        <v>-4.7457859193942964E-2</v>
      </c>
      <c r="AC239" s="171" t="str">
        <f t="shared" si="155"/>
        <v>0.00319488730951733-0.0741321847779623i</v>
      </c>
      <c r="AD239" s="190">
        <f t="shared" si="156"/>
        <v>-22.591805052507791</v>
      </c>
      <c r="AE239" s="169">
        <f t="shared" si="157"/>
        <v>-87.532241184435094</v>
      </c>
      <c r="AF239" s="98" t="str">
        <f t="shared" si="143"/>
        <v>-0.0000119284294234592</v>
      </c>
      <c r="AG239" s="98" t="str">
        <f t="shared" si="144"/>
        <v>0.0000570871651920868i</v>
      </c>
      <c r="AH239" s="98">
        <f t="shared" si="158"/>
        <v>5.70871651920868E-5</v>
      </c>
      <c r="AI239" s="98">
        <f t="shared" si="159"/>
        <v>1.5707963267948966</v>
      </c>
      <c r="AJ239" s="98" t="str">
        <f t="shared" si="145"/>
        <v>1+0.0493008773320346i</v>
      </c>
      <c r="AK239" s="98">
        <f t="shared" si="160"/>
        <v>1.0012145506861694</v>
      </c>
      <c r="AL239" s="98">
        <f t="shared" si="161"/>
        <v>4.9260992297356143E-2</v>
      </c>
      <c r="AM239" s="98" t="str">
        <f t="shared" si="146"/>
        <v>1+125.542443177057i</v>
      </c>
      <c r="AN239" s="98">
        <f t="shared" si="162"/>
        <v>125.54642583070451</v>
      </c>
      <c r="AO239" s="98">
        <f t="shared" si="163"/>
        <v>1.5628310616134862</v>
      </c>
      <c r="AP239" s="168" t="str">
        <f t="shared" si="164"/>
        <v>-26.1583578435233+1.49858115187219i</v>
      </c>
      <c r="AQ239" s="98">
        <f t="shared" si="165"/>
        <v>28.366439770332306</v>
      </c>
      <c r="AR239" s="169">
        <f t="shared" si="166"/>
        <v>176.7211769691377</v>
      </c>
      <c r="AS239" s="168" t="str">
        <f t="shared" si="167"/>
        <v>0.0275200893432751+1.94396401504853i</v>
      </c>
      <c r="AT239" s="190">
        <f t="shared" si="168"/>
        <v>5.7746347178245312</v>
      </c>
      <c r="AU239" s="169">
        <f t="shared" si="169"/>
        <v>89.188935784702608</v>
      </c>
      <c r="AV239" s="225"/>
      <c r="AX239">
        <f t="shared" si="170"/>
        <v>0</v>
      </c>
      <c r="AY239">
        <f t="shared" si="171"/>
        <v>0</v>
      </c>
    </row>
    <row r="240" spans="14:51" x14ac:dyDescent="0.2">
      <c r="N240" s="170">
        <v>22</v>
      </c>
      <c r="O240" s="199">
        <f t="shared" si="172"/>
        <v>1659.5869074375626</v>
      </c>
      <c r="P240" s="189" t="str">
        <f t="shared" si="138"/>
        <v>771.276595744681</v>
      </c>
      <c r="Q240" s="160" t="str">
        <f t="shared" si="139"/>
        <v>1+10636.0419142553i</v>
      </c>
      <c r="R240" s="160">
        <f t="shared" si="147"/>
        <v>10636.041961265268</v>
      </c>
      <c r="S240" s="160">
        <f t="shared" si="148"/>
        <v>1.5707023068573001</v>
      </c>
      <c r="T240" s="160" t="str">
        <f t="shared" si="140"/>
        <v>1+0.00250259809747183i</v>
      </c>
      <c r="U240" s="160">
        <f t="shared" si="149"/>
        <v>1.0000031314937157</v>
      </c>
      <c r="V240" s="160">
        <f t="shared" si="150"/>
        <v>2.5025928729031392E-3</v>
      </c>
      <c r="W240" s="98" t="str">
        <f t="shared" si="141"/>
        <v>1-0.00709069460950351i</v>
      </c>
      <c r="X240" s="160">
        <f t="shared" si="151"/>
        <v>1.0000251386590466</v>
      </c>
      <c r="Y240" s="160">
        <f t="shared" si="152"/>
        <v>-7.0905757778918013E-3</v>
      </c>
      <c r="Z240" s="98" t="str">
        <f t="shared" si="142"/>
        <v>0.998898308518665-0.0485486543000428i</v>
      </c>
      <c r="AA240" s="160">
        <f t="shared" si="153"/>
        <v>1.0000773983026487</v>
      </c>
      <c r="AB240" s="160">
        <f t="shared" si="154"/>
        <v>-4.8563984129952421E-2</v>
      </c>
      <c r="AC240" s="171" t="str">
        <f t="shared" si="155"/>
        <v>0.00319456292622779-0.0724414114070344i</v>
      </c>
      <c r="AD240" s="190">
        <f t="shared" si="156"/>
        <v>-22.791824479825323</v>
      </c>
      <c r="AE240" s="169">
        <f t="shared" si="157"/>
        <v>-87.474973784333059</v>
      </c>
      <c r="AF240" s="98" t="str">
        <f t="shared" si="143"/>
        <v>-0.0000119284294234592</v>
      </c>
      <c r="AG240" s="98" t="str">
        <f t="shared" si="144"/>
        <v>0.0000584168960902362i</v>
      </c>
      <c r="AH240" s="98">
        <f t="shared" si="158"/>
        <v>5.8416896090236197E-5</v>
      </c>
      <c r="AI240" s="98">
        <f t="shared" si="159"/>
        <v>1.5707963267948966</v>
      </c>
      <c r="AJ240" s="98" t="str">
        <f t="shared" si="145"/>
        <v>1+0.0504492422871643i</v>
      </c>
      <c r="AK240" s="98">
        <f t="shared" si="160"/>
        <v>1.0012717543441185</v>
      </c>
      <c r="AL240" s="98">
        <f t="shared" si="161"/>
        <v>5.0406507633716693E-2</v>
      </c>
      <c r="AM240" s="98" t="str">
        <f t="shared" si="146"/>
        <v>1+128.466702336887i</v>
      </c>
      <c r="AN240" s="98">
        <f t="shared" si="162"/>
        <v>128.47059433704791</v>
      </c>
      <c r="AO240" s="98">
        <f t="shared" si="163"/>
        <v>1.5630123657758532</v>
      </c>
      <c r="AP240" s="168" t="str">
        <f t="shared" si="164"/>
        <v>-26.1553690225483+1.52371340044965i</v>
      </c>
      <c r="AQ240" s="98">
        <f t="shared" si="165"/>
        <v>28.3659311214818</v>
      </c>
      <c r="AR240" s="169">
        <f t="shared" si="166"/>
        <v>176.66593173830853</v>
      </c>
      <c r="AS240" s="168" t="str">
        <f t="shared" si="167"/>
        <v>0.0268249771071449+1.8995994462045i</v>
      </c>
      <c r="AT240" s="190">
        <f t="shared" si="168"/>
        <v>5.5741066416564884</v>
      </c>
      <c r="AU240" s="169">
        <f t="shared" si="169"/>
        <v>89.190957953975499</v>
      </c>
      <c r="AV240" s="225"/>
      <c r="AX240">
        <f t="shared" si="170"/>
        <v>0</v>
      </c>
      <c r="AY240">
        <f t="shared" si="171"/>
        <v>0</v>
      </c>
    </row>
    <row r="241" spans="14:51" x14ac:dyDescent="0.2">
      <c r="N241" s="170">
        <v>23</v>
      </c>
      <c r="O241" s="199">
        <f t="shared" si="172"/>
        <v>1698.2436524617447</v>
      </c>
      <c r="P241" s="189" t="str">
        <f t="shared" si="138"/>
        <v>771.276595744681</v>
      </c>
      <c r="Q241" s="160" t="str">
        <f t="shared" si="139"/>
        <v>1+10883.7871564618i</v>
      </c>
      <c r="R241" s="160">
        <f t="shared" si="147"/>
        <v>10883.787202401691</v>
      </c>
      <c r="S241" s="160">
        <f t="shared" si="148"/>
        <v>1.570704447012353</v>
      </c>
      <c r="T241" s="160" t="str">
        <f t="shared" si="140"/>
        <v>1+0.00256089109563806i</v>
      </c>
      <c r="U241" s="160">
        <f t="shared" si="149"/>
        <v>1.0000032790762257</v>
      </c>
      <c r="V241" s="160">
        <f t="shared" si="150"/>
        <v>2.5608854974128376E-3</v>
      </c>
      <c r="W241" s="98" t="str">
        <f t="shared" si="141"/>
        <v>1-0.00725585810430784i</v>
      </c>
      <c r="X241" s="160">
        <f t="shared" si="151"/>
        <v>1.0000263233919544</v>
      </c>
      <c r="Y241" s="160">
        <f t="shared" si="152"/>
        <v>-7.2557307741228406E-3</v>
      </c>
      <c r="Z241" s="98" t="str">
        <f t="shared" si="142"/>
        <v>0.998846387398749-0.0496794977298945i</v>
      </c>
      <c r="AA241" s="160">
        <f t="shared" si="153"/>
        <v>1.000081075770473</v>
      </c>
      <c r="AB241" s="160">
        <f t="shared" si="154"/>
        <v>-4.9695923271384369E-2</v>
      </c>
      <c r="AC241" s="171" t="str">
        <f t="shared" si="155"/>
        <v>0.00319425284323041-0.070789047098352i</v>
      </c>
      <c r="AD241" s="190">
        <f t="shared" si="156"/>
        <v>-22.99184484557053</v>
      </c>
      <c r="AE241" s="169">
        <f t="shared" si="157"/>
        <v>-87.416363833603782</v>
      </c>
      <c r="AF241" s="98" t="str">
        <f t="shared" si="143"/>
        <v>-0.0000119284294234592</v>
      </c>
      <c r="AG241" s="98" t="str">
        <f t="shared" si="144"/>
        <v>0.0000597776003999317i</v>
      </c>
      <c r="AH241" s="98">
        <f t="shared" si="158"/>
        <v>5.9777600399931697E-5</v>
      </c>
      <c r="AI241" s="98">
        <f t="shared" si="159"/>
        <v>1.5707963267948966</v>
      </c>
      <c r="AJ241" s="98" t="str">
        <f t="shared" si="145"/>
        <v>1+0.0516243560983289i</v>
      </c>
      <c r="AK241" s="98">
        <f t="shared" si="160"/>
        <v>1.0013316504248566</v>
      </c>
      <c r="AL241" s="98">
        <f t="shared" si="161"/>
        <v>5.1578568380468558E-2</v>
      </c>
      <c r="AM241" s="98" t="str">
        <f t="shared" si="146"/>
        <v>1+131.459076242754i</v>
      </c>
      <c r="AN241" s="98">
        <f t="shared" si="162"/>
        <v>131.46287965276821</v>
      </c>
      <c r="AO241" s="98">
        <f t="shared" si="163"/>
        <v>1.5631895434461274</v>
      </c>
      <c r="AP241" s="168" t="str">
        <f t="shared" si="164"/>
        <v>-26.1522400747322+1.54963936362076i</v>
      </c>
      <c r="AQ241" s="98">
        <f t="shared" si="165"/>
        <v>28.365399704072182</v>
      </c>
      <c r="AR241" s="169">
        <f t="shared" si="166"/>
        <v>176.60892913691734</v>
      </c>
      <c r="AS241" s="168" t="str">
        <f t="shared" si="167"/>
        <v>0.0261606266812526+1.85624209432085i</v>
      </c>
      <c r="AT241" s="190">
        <f t="shared" si="168"/>
        <v>5.3735548585016337</v>
      </c>
      <c r="AU241" s="169">
        <f t="shared" si="169"/>
        <v>89.192565303313586</v>
      </c>
      <c r="AV241" s="225"/>
      <c r="AX241">
        <f t="shared" si="170"/>
        <v>0</v>
      </c>
      <c r="AY241">
        <f t="shared" si="171"/>
        <v>0</v>
      </c>
    </row>
    <row r="242" spans="14:51" x14ac:dyDescent="0.2">
      <c r="N242" s="170">
        <v>24</v>
      </c>
      <c r="O242" s="199">
        <f t="shared" si="172"/>
        <v>1737.8008287493772</v>
      </c>
      <c r="P242" s="189" t="str">
        <f t="shared" si="138"/>
        <v>771.276595744681</v>
      </c>
      <c r="Q242" s="160" t="str">
        <f t="shared" si="139"/>
        <v>1+11137.3031266827i</v>
      </c>
      <c r="R242" s="160">
        <f t="shared" si="147"/>
        <v>11137.303171576872</v>
      </c>
      <c r="S242" s="160">
        <f t="shared" si="148"/>
        <v>1.5707065384515304</v>
      </c>
      <c r="T242" s="160" t="str">
        <f t="shared" si="140"/>
        <v>1+0.00262054191216062i</v>
      </c>
      <c r="U242" s="160">
        <f t="shared" si="149"/>
        <v>1.0000034336140617</v>
      </c>
      <c r="V242" s="160">
        <f t="shared" si="150"/>
        <v>2.6205359135553319E-3</v>
      </c>
      <c r="W242" s="98" t="str">
        <f t="shared" si="141"/>
        <v>1-0.00742486875112176i</v>
      </c>
      <c r="X242" s="160">
        <f t="shared" si="151"/>
        <v>1.0000275639580998</v>
      </c>
      <c r="Y242" s="160">
        <f t="shared" si="152"/>
        <v>-7.4247323145735008E-3</v>
      </c>
      <c r="Z242" s="98" t="str">
        <f t="shared" si="142"/>
        <v>0.998792019311839-0.0508366818870289i</v>
      </c>
      <c r="AA242" s="160">
        <f t="shared" si="153"/>
        <v>1.0000849294266483</v>
      </c>
      <c r="AB242" s="160">
        <f t="shared" si="154"/>
        <v>-5.0854281423183149E-2</v>
      </c>
      <c r="AC242" s="171" t="str">
        <f t="shared" si="155"/>
        <v>0.00319395640042797-0.0691742157231146i</v>
      </c>
      <c r="AD242" s="190">
        <f t="shared" si="156"/>
        <v>-23.191866196150311</v>
      </c>
      <c r="AE242" s="169">
        <f t="shared" si="157"/>
        <v>-87.356379988886985</v>
      </c>
      <c r="AF242" s="98" t="str">
        <f t="shared" si="143"/>
        <v>-0.0000119284294234592</v>
      </c>
      <c r="AG242" s="98" t="str">
        <f t="shared" si="144"/>
        <v>0.0000611699995846093i</v>
      </c>
      <c r="AH242" s="98">
        <f t="shared" si="158"/>
        <v>6.1169999584609295E-5</v>
      </c>
      <c r="AI242" s="98">
        <f t="shared" si="159"/>
        <v>1.5707963267948966</v>
      </c>
      <c r="AJ242" s="98" t="str">
        <f t="shared" si="145"/>
        <v>1+0.0528268418264264i</v>
      </c>
      <c r="AK242" s="98">
        <f t="shared" si="160"/>
        <v>1.0013943654811297</v>
      </c>
      <c r="AL242" s="98">
        <f t="shared" si="161"/>
        <v>5.2777783091696853E-2</v>
      </c>
      <c r="AM242" s="98" t="str">
        <f t="shared" si="146"/>
        <v>1+134.521151490912i</v>
      </c>
      <c r="AN242" s="98">
        <f t="shared" si="162"/>
        <v>134.52486832716428</v>
      </c>
      <c r="AO242" s="98">
        <f t="shared" si="163"/>
        <v>1.5633626885217335</v>
      </c>
      <c r="AP242" s="168" t="str">
        <f t="shared" si="164"/>
        <v>-26.1489644664297+1.57637177909916i</v>
      </c>
      <c r="AQ242" s="98">
        <f t="shared" si="165"/>
        <v>28.364844399482251</v>
      </c>
      <c r="AR242" s="169">
        <f t="shared" si="166"/>
        <v>176.55013967730969</v>
      </c>
      <c r="AS242" s="168" t="str">
        <f t="shared" si="167"/>
        <v>0.0255256290851186+1.81386897167017i</v>
      </c>
      <c r="AT242" s="190">
        <f t="shared" si="168"/>
        <v>5.1729782033319189</v>
      </c>
      <c r="AU242" s="169">
        <f t="shared" si="169"/>
        <v>89.193759688422702</v>
      </c>
      <c r="AV242" s="225"/>
      <c r="AX242">
        <f t="shared" si="170"/>
        <v>0</v>
      </c>
      <c r="AY242">
        <f t="shared" si="171"/>
        <v>0</v>
      </c>
    </row>
    <row r="243" spans="14:51" x14ac:dyDescent="0.2">
      <c r="N243" s="170">
        <v>25</v>
      </c>
      <c r="O243" s="199">
        <f t="shared" si="172"/>
        <v>1778.2794100389244</v>
      </c>
      <c r="P243" s="189" t="str">
        <f t="shared" si="138"/>
        <v>771.276595744681</v>
      </c>
      <c r="Q243" s="160" t="str">
        <f t="shared" si="139"/>
        <v>1+11396.7242424409i</v>
      </c>
      <c r="R243" s="160">
        <f t="shared" si="147"/>
        <v>11396.724286313154</v>
      </c>
      <c r="S243" s="160">
        <f t="shared" si="148"/>
        <v>1.5707085822837406</v>
      </c>
      <c r="T243" s="160" t="str">
        <f t="shared" si="140"/>
        <v>1+0.00268158217469198i</v>
      </c>
      <c r="U243" s="160">
        <f t="shared" si="149"/>
        <v>1.0000035954350162</v>
      </c>
      <c r="V243" s="160">
        <f t="shared" si="150"/>
        <v>2.6815757470718573E-3</v>
      </c>
      <c r="W243" s="98" t="str">
        <f t="shared" si="141"/>
        <v>1-0.00759781616162728i</v>
      </c>
      <c r="X243" s="160">
        <f t="shared" si="151"/>
        <v>1.0000288629886769</v>
      </c>
      <c r="Y243" s="160">
        <f t="shared" si="152"/>
        <v>-7.5976699674597699E-3</v>
      </c>
      <c r="Z243" s="98" t="str">
        <f t="shared" si="142"/>
        <v>0.998735088935933-0.0520208203258028i</v>
      </c>
      <c r="AA243" s="160">
        <f t="shared" si="153"/>
        <v>1.0000889678519784</v>
      </c>
      <c r="AB243" s="160">
        <f t="shared" si="154"/>
        <v>-5.2039677728513145E-2</v>
      </c>
      <c r="AC243" s="171" t="str">
        <f t="shared" si="155"/>
        <v>0.00319367296642752-0.0675960610512939i</v>
      </c>
      <c r="AD243" s="190">
        <f t="shared" si="156"/>
        <v>-23.39188858036961</v>
      </c>
      <c r="AE243" s="169">
        <f t="shared" si="157"/>
        <v>-87.294990159287465</v>
      </c>
      <c r="AF243" s="98" t="str">
        <f t="shared" si="143"/>
        <v>-0.0000119284294234592</v>
      </c>
      <c r="AG243" s="98" t="str">
        <f t="shared" si="144"/>
        <v>0.0000625948319127474i</v>
      </c>
      <c r="AH243" s="98">
        <f t="shared" si="158"/>
        <v>6.2594831912747394E-5</v>
      </c>
      <c r="AI243" s="98">
        <f t="shared" si="159"/>
        <v>1.5707963267948966</v>
      </c>
      <c r="AJ243" s="98" t="str">
        <f t="shared" si="145"/>
        <v>1+0.0540573370453062i</v>
      </c>
      <c r="AK243" s="98">
        <f t="shared" si="160"/>
        <v>1.001460031997498</v>
      </c>
      <c r="AL243" s="98">
        <f t="shared" si="161"/>
        <v>5.4004773802209312E-2</v>
      </c>
      <c r="AM243" s="98" t="str">
        <f t="shared" si="146"/>
        <v>1+137.654551634188i</v>
      </c>
      <c r="AN243" s="98">
        <f t="shared" si="162"/>
        <v>137.65818386717638</v>
      </c>
      <c r="AO243" s="98">
        <f t="shared" si="163"/>
        <v>1.5635318927649324</v>
      </c>
      <c r="AP243" s="168" t="str">
        <f t="shared" si="164"/>
        <v>-26.1455353628168+1.60392374072026i</v>
      </c>
      <c r="AQ243" s="98">
        <f t="shared" si="165"/>
        <v>28.364264039247328</v>
      </c>
      <c r="AR243" s="169">
        <f t="shared" si="166"/>
        <v>176.48953297710659</v>
      </c>
      <c r="AS243" s="168" t="str">
        <f t="shared" si="167"/>
        <v>0.0249186376183436+1.77245761249468i</v>
      </c>
      <c r="AT243" s="190">
        <f t="shared" si="168"/>
        <v>4.9723754588777238</v>
      </c>
      <c r="AU243" s="169">
        <f t="shared" si="169"/>
        <v>89.194542817819141</v>
      </c>
      <c r="AV243" s="225"/>
      <c r="AX243">
        <f t="shared" si="170"/>
        <v>0</v>
      </c>
      <c r="AY243">
        <f t="shared" si="171"/>
        <v>0</v>
      </c>
    </row>
    <row r="244" spans="14:51" x14ac:dyDescent="0.2">
      <c r="N244" s="170">
        <v>26</v>
      </c>
      <c r="O244" s="199">
        <f t="shared" si="172"/>
        <v>1819.7008586099832</v>
      </c>
      <c r="P244" s="189" t="str">
        <f t="shared" si="138"/>
        <v>771.276595744681</v>
      </c>
      <c r="Q244" s="160" t="str">
        <f t="shared" si="139"/>
        <v>1+11662.1880522459i</v>
      </c>
      <c r="R244" s="160">
        <f t="shared" si="147"/>
        <v>11662.1880951195</v>
      </c>
      <c r="S244" s="160">
        <f t="shared" si="148"/>
        <v>1.5707105795926504</v>
      </c>
      <c r="T244" s="160" t="str">
        <f t="shared" si="140"/>
        <v>1+0.00274404424758727i</v>
      </c>
      <c r="U244" s="160">
        <f t="shared" si="149"/>
        <v>1.0000037648823292</v>
      </c>
      <c r="V244" s="160">
        <f t="shared" si="150"/>
        <v>2.7440373602696218E-3</v>
      </c>
      <c r="W244" s="98" t="str">
        <f t="shared" si="141"/>
        <v>1-0.00777479203483059i</v>
      </c>
      <c r="X244" s="160">
        <f t="shared" si="151"/>
        <v>1.0000302232388705</v>
      </c>
      <c r="Y244" s="160">
        <f t="shared" si="152"/>
        <v>-7.7746353852134837E-3</v>
      </c>
      <c r="Z244" s="98" t="str">
        <f t="shared" si="142"/>
        <v>0.99867547551407-0.0532325408920899i</v>
      </c>
      <c r="AA244" s="160">
        <f t="shared" si="153"/>
        <v>1.0000932000584155</v>
      </c>
      <c r="AB244" s="160">
        <f t="shared" si="154"/>
        <v>-5.3252746020548865E-2</v>
      </c>
      <c r="AC244" s="171" t="str">
        <f t="shared" si="155"/>
        <v>0.00319340193717879-0.0660537462975259i</v>
      </c>
      <c r="AD244" s="190">
        <f t="shared" si="156"/>
        <v>-23.591912049565465</v>
      </c>
      <c r="AE244" s="169">
        <f t="shared" si="157"/>
        <v>-87.232161488002831</v>
      </c>
      <c r="AF244" s="98" t="str">
        <f t="shared" si="143"/>
        <v>-0.0000119284294234592</v>
      </c>
      <c r="AG244" s="98" t="str">
        <f t="shared" si="144"/>
        <v>0.000064052852849306i</v>
      </c>
      <c r="AH244" s="98">
        <f t="shared" si="158"/>
        <v>6.4052852849306004E-5</v>
      </c>
      <c r="AI244" s="98">
        <f t="shared" si="159"/>
        <v>1.5707963267948966</v>
      </c>
      <c r="AJ244" s="98" t="str">
        <f t="shared" si="145"/>
        <v>1+0.0553164941798202i</v>
      </c>
      <c r="AK244" s="98">
        <f t="shared" si="160"/>
        <v>1.0015287886667792</v>
      </c>
      <c r="AL244" s="98">
        <f t="shared" si="161"/>
        <v>5.5260176292405469E-2</v>
      </c>
      <c r="AM244" s="98" t="str">
        <f t="shared" si="146"/>
        <v>1+140.860938042813i</v>
      </c>
      <c r="AN244" s="98">
        <f t="shared" si="162"/>
        <v>140.86448759819203</v>
      </c>
      <c r="AO244" s="98">
        <f t="shared" si="163"/>
        <v>1.5636972458512768</v>
      </c>
      <c r="AP244" s="168" t="str">
        <f t="shared" si="164"/>
        <v>-26.141945614341+1.63230870035263i</v>
      </c>
      <c r="AQ244" s="98">
        <f t="shared" si="165"/>
        <v>28.363657402659971</v>
      </c>
      <c r="AR244" s="169">
        <f t="shared" si="166"/>
        <v>176.42707774680511</v>
      </c>
      <c r="AS244" s="168" t="str">
        <f t="shared" si="167"/>
        <v>0.0243383650058777+1.73198606109918i</v>
      </c>
      <c r="AT244" s="190">
        <f t="shared" si="168"/>
        <v>4.7717453530945075</v>
      </c>
      <c r="AU244" s="169">
        <f t="shared" si="169"/>
        <v>89.19491625880228</v>
      </c>
      <c r="AV244" s="225"/>
      <c r="AX244">
        <f t="shared" si="170"/>
        <v>0</v>
      </c>
      <c r="AY244">
        <f t="shared" si="171"/>
        <v>0</v>
      </c>
    </row>
    <row r="245" spans="14:51" x14ac:dyDescent="0.2">
      <c r="N245" s="170">
        <v>27</v>
      </c>
      <c r="O245" s="199">
        <f t="shared" si="172"/>
        <v>1862.0871366628687</v>
      </c>
      <c r="P245" s="189" t="str">
        <f t="shared" si="138"/>
        <v>771.276595744681</v>
      </c>
      <c r="Q245" s="160" t="str">
        <f t="shared" si="139"/>
        <v>1+11933.8353085236i</v>
      </c>
      <c r="R245" s="160">
        <f t="shared" si="147"/>
        <v>11933.835350421277</v>
      </c>
      <c r="S245" s="160">
        <f t="shared" si="148"/>
        <v>1.5707125314372596</v>
      </c>
      <c r="T245" s="160" t="str">
        <f t="shared" si="140"/>
        <v>1+0.00280796124906437i</v>
      </c>
      <c r="U245" s="160">
        <f t="shared" si="149"/>
        <v>1.0000039423154172</v>
      </c>
      <c r="V245" s="160">
        <f t="shared" si="150"/>
        <v>2.8079538691721203E-3</v>
      </c>
      <c r="W245" s="98" t="str">
        <f t="shared" si="141"/>
        <v>1-0.00795589020568236i</v>
      </c>
      <c r="X245" s="160">
        <f t="shared" si="151"/>
        <v>1.0000316475936972</v>
      </c>
      <c r="Y245" s="160">
        <f t="shared" si="152"/>
        <v>-7.9557223528803657E-3</v>
      </c>
      <c r="Z245" s="98" t="str">
        <f t="shared" si="142"/>
        <v>0.99861305259819-0.0544724860561742i</v>
      </c>
      <c r="AA245" s="160">
        <f t="shared" si="153"/>
        <v>1.0000976355119611</v>
      </c>
      <c r="AB245" s="160">
        <f t="shared" si="154"/>
        <v>-5.4494135183719788E-2</v>
      </c>
      <c r="AC245" s="171" t="str">
        <f t="shared" si="155"/>
        <v>0.00319314273466899-0.0645464536773124i</v>
      </c>
      <c r="AD245" s="190">
        <f t="shared" si="156"/>
        <v>-23.791936657748227</v>
      </c>
      <c r="AE245" s="169">
        <f t="shared" si="157"/>
        <v>-87.167860333449056</v>
      </c>
      <c r="AF245" s="98" t="str">
        <f t="shared" si="143"/>
        <v>-0.0000119284294234592</v>
      </c>
      <c r="AG245" s="98" t="str">
        <f t="shared" si="144"/>
        <v>0.0000655448354562852i</v>
      </c>
      <c r="AH245" s="98">
        <f t="shared" si="158"/>
        <v>6.5544835456285202E-5</v>
      </c>
      <c r="AI245" s="98">
        <f t="shared" si="159"/>
        <v>1.5707963267948966</v>
      </c>
      <c r="AJ245" s="98" t="str">
        <f t="shared" si="145"/>
        <v>1+0.0566049808517491i</v>
      </c>
      <c r="AK245" s="98">
        <f t="shared" si="160"/>
        <v>1.001600780679222</v>
      </c>
      <c r="AL245" s="98">
        <f t="shared" si="161"/>
        <v>5.6544640355865011E-2</v>
      </c>
      <c r="AM245" s="98" t="str">
        <f t="shared" si="146"/>
        <v>1+144.142010785304i</v>
      </c>
      <c r="AN245" s="98">
        <f t="shared" si="162"/>
        <v>144.14547954490524</v>
      </c>
      <c r="AO245" s="98">
        <f t="shared" si="163"/>
        <v>1.5638588354169727</v>
      </c>
      <c r="AP245" s="168" t="str">
        <f t="shared" si="164"/>
        <v>-26.1381877425949+1.66154046964911i</v>
      </c>
      <c r="AQ245" s="98">
        <f t="shared" si="165"/>
        <v>28.363023214267699</v>
      </c>
      <c r="AR245" s="169">
        <f t="shared" si="166"/>
        <v>176.36274177716038</v>
      </c>
      <c r="AS245" s="168" t="str">
        <f t="shared" si="167"/>
        <v>0.0237835806695052+1.69243286021532i</v>
      </c>
      <c r="AT245" s="190">
        <f t="shared" si="168"/>
        <v>4.5710865565194938</v>
      </c>
      <c r="AU245" s="169">
        <f t="shared" si="169"/>
        <v>89.194881443711353</v>
      </c>
      <c r="AV245" s="225"/>
      <c r="AX245">
        <f t="shared" si="170"/>
        <v>0</v>
      </c>
      <c r="AY245">
        <f t="shared" si="171"/>
        <v>0</v>
      </c>
    </row>
    <row r="246" spans="14:51" x14ac:dyDescent="0.2">
      <c r="N246" s="170">
        <v>28</v>
      </c>
      <c r="O246" s="199">
        <f t="shared" si="172"/>
        <v>1905.4607179632501</v>
      </c>
      <c r="P246" s="189" t="str">
        <f t="shared" si="138"/>
        <v>771.276595744681</v>
      </c>
      <c r="Q246" s="160" t="str">
        <f t="shared" si="139"/>
        <v>1+12211.8100422449i</v>
      </c>
      <c r="R246" s="160">
        <f t="shared" si="147"/>
        <v>12211.810083188871</v>
      </c>
      <c r="S246" s="160">
        <f t="shared" si="148"/>
        <v>1.5707144388524619</v>
      </c>
      <c r="T246" s="160" t="str">
        <f t="shared" si="140"/>
        <v>1+0.0028733670687635i</v>
      </c>
      <c r="U246" s="160">
        <f t="shared" si="149"/>
        <v>1.0000041281106353</v>
      </c>
      <c r="V246" s="160">
        <f t="shared" si="150"/>
        <v>2.8733591610682471E-3</v>
      </c>
      <c r="W246" s="98" t="str">
        <f t="shared" si="141"/>
        <v>1-0.00814120669482992i</v>
      </c>
      <c r="X246" s="160">
        <f t="shared" si="151"/>
        <v>1.0000331390741248</v>
      </c>
      <c r="Y246" s="160">
        <f t="shared" si="152"/>
        <v>-8.1410268376340428E-3</v>
      </c>
      <c r="Z246" s="98" t="str">
        <f t="shared" si="142"/>
        <v>0.99854768778092-0.0557413132533946i</v>
      </c>
      <c r="AA246" s="160">
        <f t="shared" si="153"/>
        <v>1.0001022841568927</v>
      </c>
      <c r="AB246" s="160">
        <f t="shared" si="154"/>
        <v>-5.5764509524716142E-2</v>
      </c>
      <c r="AC246" s="171" t="str">
        <f t="shared" si="155"/>
        <v>0.00319289480567034-0.0630733839732867i</v>
      </c>
      <c r="AD246" s="190">
        <f t="shared" si="156"/>
        <v>-23.99196246175185</v>
      </c>
      <c r="AE246" s="169">
        <f t="shared" si="157"/>
        <v>-87.102052249866858</v>
      </c>
      <c r="AF246" s="98" t="str">
        <f t="shared" si="143"/>
        <v>-0.0000119284294234592</v>
      </c>
      <c r="AG246" s="98" t="str">
        <f t="shared" si="144"/>
        <v>0.0000670715708026119i</v>
      </c>
      <c r="AH246" s="98">
        <f t="shared" si="158"/>
        <v>6.7071570802611905E-5</v>
      </c>
      <c r="AI246" s="98">
        <f t="shared" si="159"/>
        <v>1.5707963267948966</v>
      </c>
      <c r="AJ246" s="98" t="str">
        <f t="shared" si="145"/>
        <v>1+0.0579234802337816i</v>
      </c>
      <c r="AK246" s="98">
        <f t="shared" si="160"/>
        <v>1.0016761600249819</v>
      </c>
      <c r="AL246" s="98">
        <f t="shared" si="161"/>
        <v>5.785883006947358E-2</v>
      </c>
      <c r="AM246" s="98" t="str">
        <f t="shared" si="146"/>
        <v>1+147.49950952986i</v>
      </c>
      <c r="AN246" s="98">
        <f t="shared" si="162"/>
        <v>147.50289933268857</v>
      </c>
      <c r="AO246" s="98">
        <f t="shared" si="163"/>
        <v>1.5640167471051734</v>
      </c>
      <c r="AP246" s="168" t="str">
        <f t="shared" si="164"/>
        <v>-26.1342539255889+1.6916332216147i</v>
      </c>
      <c r="AQ246" s="98">
        <f t="shared" si="165"/>
        <v>28.36236014126214</v>
      </c>
      <c r="AR246" s="169">
        <f t="shared" si="166"/>
        <v>176.29649192636077</v>
      </c>
      <c r="AS246" s="168" t="str">
        <f t="shared" si="167"/>
        <v>0.0232531081197895+1.65377703963044i</v>
      </c>
      <c r="AT246" s="190">
        <f t="shared" si="168"/>
        <v>4.3703976795103046</v>
      </c>
      <c r="AU246" s="169">
        <f t="shared" si="169"/>
        <v>89.194439676493914</v>
      </c>
      <c r="AV246" s="225"/>
      <c r="AX246">
        <f t="shared" si="170"/>
        <v>0</v>
      </c>
      <c r="AY246">
        <f t="shared" si="171"/>
        <v>0</v>
      </c>
    </row>
    <row r="247" spans="14:51" x14ac:dyDescent="0.2">
      <c r="N247" s="170">
        <v>29</v>
      </c>
      <c r="O247" s="199">
        <f t="shared" si="172"/>
        <v>1949.8445997580463</v>
      </c>
      <c r="P247" s="189" t="str">
        <f t="shared" si="138"/>
        <v>771.276595744681</v>
      </c>
      <c r="Q247" s="160" t="str">
        <f t="shared" si="139"/>
        <v>1+12496.2596392929i</v>
      </c>
      <c r="R247" s="160">
        <f t="shared" si="147"/>
        <v>12496.259679304872</v>
      </c>
      <c r="S247" s="160">
        <f t="shared" si="148"/>
        <v>1.5707163028495936</v>
      </c>
      <c r="T247" s="160" t="str">
        <f t="shared" si="140"/>
        <v>1+0.00294029638571597i</v>
      </c>
      <c r="U247" s="160">
        <f t="shared" si="149"/>
        <v>1.0000043226620752</v>
      </c>
      <c r="V247" s="160">
        <f t="shared" si="150"/>
        <v>2.9402879124698243E-3</v>
      </c>
      <c r="W247" s="98" t="str">
        <f t="shared" si="141"/>
        <v>1-0.00833083975952856i</v>
      </c>
      <c r="X247" s="160">
        <f t="shared" si="151"/>
        <v>1.0000347008434753</v>
      </c>
      <c r="Y247" s="160">
        <f t="shared" si="152"/>
        <v>-8.3306470394321642E-3</v>
      </c>
      <c r="Z247" s="98" t="str">
        <f t="shared" si="142"/>
        <v>0.998479242414718-0.0570396952327247i</v>
      </c>
      <c r="AA247" s="160">
        <f t="shared" si="153"/>
        <v>1.0001071564414041</v>
      </c>
      <c r="AB247" s="160">
        <f t="shared" si="154"/>
        <v>-5.7064549153581022E-2</v>
      </c>
      <c r="AC247" s="171" t="str">
        <f t="shared" si="155"/>
        <v>0.00319265762053718-0.0616337561113099i</v>
      </c>
      <c r="AD247" s="190">
        <f t="shared" si="156"/>
        <v>-24.191989521394092</v>
      </c>
      <c r="AE247" s="169">
        <f t="shared" si="157"/>
        <v>-87.034701967391911</v>
      </c>
      <c r="AF247" s="98" t="str">
        <f t="shared" si="143"/>
        <v>-0.0000119284294234592</v>
      </c>
      <c r="AG247" s="98" t="str">
        <f t="shared" si="144"/>
        <v>0.0000686338683835751i</v>
      </c>
      <c r="AH247" s="98">
        <f t="shared" si="158"/>
        <v>6.8633868383575095E-5</v>
      </c>
      <c r="AI247" s="98">
        <f t="shared" si="159"/>
        <v>1.5707963267948966</v>
      </c>
      <c r="AJ247" s="98" t="str">
        <f t="shared" si="145"/>
        <v>1+0.0592726914117411i</v>
      </c>
      <c r="AK247" s="98">
        <f t="shared" si="160"/>
        <v>1.0017550858104947</v>
      </c>
      <c r="AL247" s="98">
        <f t="shared" si="161"/>
        <v>5.9203424065896869E-2</v>
      </c>
      <c r="AM247" s="98" t="str">
        <f t="shared" si="146"/>
        <v>1+150.935214466753i</v>
      </c>
      <c r="AN247" s="98">
        <f t="shared" si="162"/>
        <v>150.93852710996197</v>
      </c>
      <c r="AO247" s="98">
        <f t="shared" si="163"/>
        <v>1.5641710646112257</v>
      </c>
      <c r="AP247" s="168" t="str">
        <f t="shared" si="164"/>
        <v>-26.1301359824051+1.72260149196647i</v>
      </c>
      <c r="AQ247" s="98">
        <f t="shared" si="165"/>
        <v>28.36166679075626</v>
      </c>
      <c r="AR247" s="169">
        <f t="shared" si="166"/>
        <v>176.22829410700891</v>
      </c>
      <c r="AS247" s="168" t="str">
        <f t="shared" si="167"/>
        <v>0.0227458224629415+1.61599810507539i</v>
      </c>
      <c r="AT247" s="190">
        <f t="shared" si="168"/>
        <v>4.1696772693621433</v>
      </c>
      <c r="AU247" s="169">
        <f t="shared" si="169"/>
        <v>89.19359213961701</v>
      </c>
      <c r="AV247" s="225"/>
      <c r="AX247">
        <f t="shared" si="170"/>
        <v>0</v>
      </c>
      <c r="AY247">
        <f t="shared" si="171"/>
        <v>0</v>
      </c>
    </row>
    <row r="248" spans="14:51" x14ac:dyDescent="0.2">
      <c r="N248" s="170">
        <v>30</v>
      </c>
      <c r="O248" s="199">
        <f t="shared" si="172"/>
        <v>1995.2623149688804</v>
      </c>
      <c r="P248" s="189" t="str">
        <f t="shared" si="138"/>
        <v>771.276595744681</v>
      </c>
      <c r="Q248" s="160" t="str">
        <f t="shared" si="139"/>
        <v>1+12787.3349186092i</v>
      </c>
      <c r="R248" s="160">
        <f t="shared" si="147"/>
        <v>12787.334957710389</v>
      </c>
      <c r="S248" s="160">
        <f t="shared" si="148"/>
        <v>1.5707181244169715</v>
      </c>
      <c r="T248" s="160" t="str">
        <f t="shared" si="140"/>
        <v>1+0.00300878468673158i</v>
      </c>
      <c r="U248" s="160">
        <f t="shared" si="149"/>
        <v>1.0000045263824016</v>
      </c>
      <c r="V248" s="160">
        <f t="shared" si="150"/>
        <v>3.0087756074869769E-3</v>
      </c>
      <c r="W248" s="98" t="str">
        <f t="shared" si="141"/>
        <v>1-0.00852488994573948i</v>
      </c>
      <c r="X248" s="160">
        <f t="shared" si="151"/>
        <v>1.0000363362141333</v>
      </c>
      <c r="Y248" s="160">
        <f t="shared" si="152"/>
        <v>-8.524683442840927E-3</v>
      </c>
      <c r="Z248" s="98" t="str">
        <f t="shared" si="142"/>
        <v>0.998407571317786-0.0583683204134772i</v>
      </c>
      <c r="AA248" s="160">
        <f t="shared" si="153"/>
        <v>1.0001122633447557</v>
      </c>
      <c r="AB248" s="160">
        <f t="shared" si="154"/>
        <v>-5.8394950375229168E-2</v>
      </c>
      <c r="AC248" s="171" t="str">
        <f t="shared" si="155"/>
        <v>0.00319243067205125-0.0602268067461818i</v>
      </c>
      <c r="AD248" s="190">
        <f t="shared" si="156"/>
        <v>-24.392017899646241</v>
      </c>
      <c r="AE248" s="169">
        <f t="shared" si="157"/>
        <v>-86.965773371569412</v>
      </c>
      <c r="AF248" s="98" t="str">
        <f t="shared" si="143"/>
        <v>-0.0000119284294234592</v>
      </c>
      <c r="AG248" s="98" t="str">
        <f t="shared" si="144"/>
        <v>0.000070232556550032i</v>
      </c>
      <c r="AH248" s="98">
        <f t="shared" si="158"/>
        <v>7.0232556550032E-5</v>
      </c>
      <c r="AI248" s="98">
        <f t="shared" si="159"/>
        <v>1.5707963267948966</v>
      </c>
      <c r="AJ248" s="98" t="str">
        <f t="shared" si="145"/>
        <v>1+0.0606533297552544i</v>
      </c>
      <c r="AK248" s="98">
        <f t="shared" si="160"/>
        <v>1.0018377245893666</v>
      </c>
      <c r="AL248" s="98">
        <f t="shared" si="161"/>
        <v>6.0579115808187187E-2</v>
      </c>
      <c r="AM248" s="98" t="str">
        <f t="shared" si="146"/>
        <v>1+154.450947252221i</v>
      </c>
      <c r="AN248" s="98">
        <f t="shared" si="162"/>
        <v>154.45418449206338</v>
      </c>
      <c r="AO248" s="98">
        <f t="shared" si="163"/>
        <v>1.5643218697268984</v>
      </c>
      <c r="AP248" s="168" t="str">
        <f t="shared" si="164"/>
        <v>-26.125825357208+1.75446018025972i</v>
      </c>
      <c r="AQ248" s="98">
        <f t="shared" si="165"/>
        <v>28.36094170694405</v>
      </c>
      <c r="AR248" s="169">
        <f t="shared" si="166"/>
        <v>176.15811327292167</v>
      </c>
      <c r="AS248" s="168" t="str">
        <f t="shared" si="167"/>
        <v>0.0222606480173683+1.57907602736542i</v>
      </c>
      <c r="AT248" s="190">
        <f t="shared" si="168"/>
        <v>3.9689238072978328</v>
      </c>
      <c r="AU248" s="169">
        <f t="shared" si="169"/>
        <v>89.19233990135227</v>
      </c>
      <c r="AV248" s="225"/>
      <c r="AX248">
        <f t="shared" si="170"/>
        <v>0</v>
      </c>
      <c r="AY248">
        <f t="shared" si="171"/>
        <v>0</v>
      </c>
    </row>
    <row r="249" spans="14:51" x14ac:dyDescent="0.2">
      <c r="N249" s="170">
        <v>31</v>
      </c>
      <c r="O249" s="199">
        <f t="shared" si="172"/>
        <v>2041.7379446695318</v>
      </c>
      <c r="P249" s="189" t="str">
        <f t="shared" si="138"/>
        <v>771.276595744681</v>
      </c>
      <c r="Q249" s="160" t="str">
        <f t="shared" si="139"/>
        <v>1+13085.1902121598i</v>
      </c>
      <c r="R249" s="160">
        <f t="shared" si="147"/>
        <v>13085.190250370935</v>
      </c>
      <c r="S249" s="160">
        <f t="shared" si="148"/>
        <v>1.5707199045204139</v>
      </c>
      <c r="T249" s="160" t="str">
        <f t="shared" si="140"/>
        <v>1+0.00307886828521406i</v>
      </c>
      <c r="U249" s="160">
        <f t="shared" si="149"/>
        <v>1.0000047397037264</v>
      </c>
      <c r="V249" s="160">
        <f t="shared" si="150"/>
        <v>3.0788585566306811E-3</v>
      </c>
      <c r="W249" s="98" t="str">
        <f t="shared" si="141"/>
        <v>1-0.00872346014143983i</v>
      </c>
      <c r="X249" s="160">
        <f t="shared" si="151"/>
        <v>1.0000380486545697</v>
      </c>
      <c r="Y249" s="160">
        <f t="shared" si="152"/>
        <v>-8.723238870052127E-3</v>
      </c>
      <c r="Z249" s="98" t="str">
        <f t="shared" si="142"/>
        <v>0.998332522466119-0.0597278932503087i</v>
      </c>
      <c r="AA249" s="160">
        <f t="shared" si="153"/>
        <v>1.0001176164060328</v>
      </c>
      <c r="AB249" s="160">
        <f t="shared" si="154"/>
        <v>-5.9756426091730694E-2</v>
      </c>
      <c r="AC249" s="171" t="str">
        <f t="shared" si="155"/>
        <v>0.00319221347431032-0.0588517898567357i</v>
      </c>
      <c r="AD249" s="190">
        <f t="shared" si="156"/>
        <v>-24.592047662814341</v>
      </c>
      <c r="AE249" s="169">
        <f t="shared" si="157"/>
        <v>-86.89522948229552</v>
      </c>
      <c r="AF249" s="98" t="str">
        <f t="shared" si="143"/>
        <v>-0.0000119284294234592</v>
      </c>
      <c r="AG249" s="98" t="str">
        <f t="shared" si="144"/>
        <v>0.0000718684829476096i</v>
      </c>
      <c r="AH249" s="98">
        <f t="shared" si="158"/>
        <v>7.1868482947609594E-5</v>
      </c>
      <c r="AI249" s="98">
        <f t="shared" si="159"/>
        <v>1.5707963267948966</v>
      </c>
      <c r="AJ249" s="98" t="str">
        <f t="shared" si="145"/>
        <v>1+0.0620661272970454i</v>
      </c>
      <c r="AK249" s="98">
        <f t="shared" si="160"/>
        <v>1.0019242507084321</v>
      </c>
      <c r="AL249" s="98">
        <f t="shared" si="161"/>
        <v>6.1986613866267776E-2</v>
      </c>
      <c r="AM249" s="98" t="str">
        <f t="shared" si="146"/>
        <v>1+158.048571974322i</v>
      </c>
      <c r="AN249" s="98">
        <f t="shared" si="162"/>
        <v>158.05173552708123</v>
      </c>
      <c r="AO249" s="98">
        <f t="shared" si="163"/>
        <v>1.5644692423836069</v>
      </c>
      <c r="AP249" s="168" t="str">
        <f t="shared" si="164"/>
        <v>-26.1213131025884+1.78722455075104i</v>
      </c>
      <c r="AQ249" s="98">
        <f t="shared" si="165"/>
        <v>28.360183368137267</v>
      </c>
      <c r="AR249" s="169">
        <f t="shared" si="166"/>
        <v>176.08591340576584</v>
      </c>
      <c r="AS249" s="168" t="str">
        <f t="shared" si="167"/>
        <v>0.0217965560348377+1.54299123178805i</v>
      </c>
      <c r="AT249" s="190">
        <f t="shared" si="168"/>
        <v>3.7681357053228974</v>
      </c>
      <c r="AU249" s="169">
        <f t="shared" si="169"/>
        <v>89.190683923470317</v>
      </c>
      <c r="AV249" s="225"/>
      <c r="AX249">
        <f t="shared" si="170"/>
        <v>0</v>
      </c>
      <c r="AY249">
        <f t="shared" si="171"/>
        <v>0</v>
      </c>
    </row>
    <row r="250" spans="14:51" x14ac:dyDescent="0.2">
      <c r="N250" s="170">
        <v>32</v>
      </c>
      <c r="O250" s="199">
        <f t="shared" si="172"/>
        <v>2089.2961308540398</v>
      </c>
      <c r="P250" s="189" t="str">
        <f t="shared" si="138"/>
        <v>771.276595744681</v>
      </c>
      <c r="Q250" s="160" t="str">
        <f t="shared" si="139"/>
        <v>1+13389.9834467639i</v>
      </c>
      <c r="R250" s="160">
        <f t="shared" si="147"/>
        <v>13389.983484105243</v>
      </c>
      <c r="S250" s="160">
        <f t="shared" si="148"/>
        <v>1.5707216441037555</v>
      </c>
      <c r="T250" s="160" t="str">
        <f t="shared" si="140"/>
        <v>1+0.00315058434041503i</v>
      </c>
      <c r="U250" s="160">
        <f t="shared" si="149"/>
        <v>1.000004963078527</v>
      </c>
      <c r="V250" s="160">
        <f t="shared" si="150"/>
        <v>3.1505739160529208E-3</v>
      </c>
      <c r="W250" s="98" t="str">
        <f t="shared" si="141"/>
        <v>1-0.00892665563117591i</v>
      </c>
      <c r="X250" s="160">
        <f t="shared" si="151"/>
        <v>1.0000398417966945</v>
      </c>
      <c r="Y250" s="160">
        <f t="shared" si="152"/>
        <v>-8.9264185351224552E-3</v>
      </c>
      <c r="Z250" s="98" t="str">
        <f t="shared" si="142"/>
        <v>0.998253936671039-0.0611191346067342i</v>
      </c>
      <c r="AA250" s="160">
        <f t="shared" si="153"/>
        <v>1.0001232277546117</v>
      </c>
      <c r="AB250" s="160">
        <f t="shared" si="154"/>
        <v>-6.1149706215741957E-2</v>
      </c>
      <c r="AC250" s="171" t="str">
        <f t="shared" si="155"/>
        <v>0.00319200556165974-0.0575079763501134i</v>
      </c>
      <c r="AD250" s="190">
        <f t="shared" si="156"/>
        <v>-24.792078880731165</v>
      </c>
      <c r="AE250" s="169">
        <f t="shared" si="157"/>
        <v>-86.823032432164055</v>
      </c>
      <c r="AF250" s="98" t="str">
        <f t="shared" si="143"/>
        <v>-0.0000119284294234592</v>
      </c>
      <c r="AG250" s="98" t="str">
        <f t="shared" si="144"/>
        <v>0.0000735425149661377i</v>
      </c>
      <c r="AH250" s="98">
        <f t="shared" si="158"/>
        <v>7.3542514966137693E-5</v>
      </c>
      <c r="AI250" s="98">
        <f t="shared" si="159"/>
        <v>1.5707963267948966</v>
      </c>
      <c r="AJ250" s="98" t="str">
        <f t="shared" si="145"/>
        <v>1+0.0635118331210722i</v>
      </c>
      <c r="AK250" s="98">
        <f t="shared" si="160"/>
        <v>1.0020148466696484</v>
      </c>
      <c r="AL250" s="98">
        <f t="shared" si="161"/>
        <v>6.3426642195045221E-2</v>
      </c>
      <c r="AM250" s="98" t="str">
        <f t="shared" si="146"/>
        <v>1+161.729996141305i</v>
      </c>
      <c r="AN250" s="98">
        <f t="shared" si="162"/>
        <v>161.73308768420435</v>
      </c>
      <c r="AO250" s="98">
        <f t="shared" si="163"/>
        <v>1.5646132606946641</v>
      </c>
      <c r="AP250" s="168" t="str">
        <f t="shared" si="164"/>
        <v>-26.1165898622192+1.82091023296915i</v>
      </c>
      <c r="AQ250" s="98">
        <f t="shared" si="165"/>
        <v>28.359390183674684</v>
      </c>
      <c r="AR250" s="169">
        <f t="shared" si="166"/>
        <v>176.01165750154382</v>
      </c>
      <c r="AS250" s="168" t="str">
        <f t="shared" si="167"/>
        <v>0.0213525625214793+1.50772458773303i</v>
      </c>
      <c r="AT250" s="190">
        <f t="shared" si="168"/>
        <v>3.5673113029434922</v>
      </c>
      <c r="AU250" s="169">
        <f t="shared" si="169"/>
        <v>89.188625069379754</v>
      </c>
      <c r="AV250" s="225"/>
      <c r="AX250">
        <f t="shared" si="170"/>
        <v>0</v>
      </c>
      <c r="AY250">
        <f t="shared" si="171"/>
        <v>0</v>
      </c>
    </row>
    <row r="251" spans="14:51" x14ac:dyDescent="0.2">
      <c r="N251" s="170">
        <v>33</v>
      </c>
      <c r="O251" s="199">
        <f t="shared" si="172"/>
        <v>2137.9620895022344</v>
      </c>
      <c r="P251" s="189" t="str">
        <f t="shared" si="138"/>
        <v>771.276595744681</v>
      </c>
      <c r="Q251" s="160" t="str">
        <f t="shared" si="139"/>
        <v>1+13701.8762278288i</v>
      </c>
      <c r="R251" s="160">
        <f t="shared" si="147"/>
        <v>13701.876264320152</v>
      </c>
      <c r="S251" s="160">
        <f t="shared" si="148"/>
        <v>1.5707233440893462</v>
      </c>
      <c r="T251" s="160" t="str">
        <f t="shared" si="140"/>
        <v>1+0.00322397087713617i</v>
      </c>
      <c r="U251" s="160">
        <f t="shared" si="149"/>
        <v>1.0000051969806041</v>
      </c>
      <c r="V251" s="160">
        <f t="shared" si="150"/>
        <v>3.2239597072340606E-3</v>
      </c>
      <c r="W251" s="98" t="str">
        <f t="shared" si="141"/>
        <v>1-0.00913458415188582i</v>
      </c>
      <c r="X251" s="160">
        <f t="shared" si="151"/>
        <v>1.0000417194435578</v>
      </c>
      <c r="Y251" s="160">
        <f t="shared" si="152"/>
        <v>-9.1343300994597559E-3</v>
      </c>
      <c r="Z251" s="98" t="str">
        <f t="shared" si="142"/>
        <v>0.998171647241541-0.0625427821373351i</v>
      </c>
      <c r="AA251" s="160">
        <f t="shared" si="153"/>
        <v>1.0001291101424703</v>
      </c>
      <c r="AB251" s="160">
        <f t="shared" si="154"/>
        <v>-6.2575538095451896E-2</v>
      </c>
      <c r="AC251" s="171" t="str">
        <f t="shared" si="155"/>
        <v>0.00319180648766247-0.056194653674998i</v>
      </c>
      <c r="AD251" s="190">
        <f t="shared" si="156"/>
        <v>-24.992111626961375</v>
      </c>
      <c r="AE251" s="169">
        <f t="shared" si="157"/>
        <v>-86.749143444198623</v>
      </c>
      <c r="AF251" s="98" t="str">
        <f t="shared" si="143"/>
        <v>-0.0000119284294234592</v>
      </c>
      <c r="AG251" s="98" t="str">
        <f t="shared" si="144"/>
        <v>0.0000752555401995512i</v>
      </c>
      <c r="AH251" s="98">
        <f t="shared" si="158"/>
        <v>7.5255540199551199E-5</v>
      </c>
      <c r="AI251" s="98">
        <f t="shared" si="159"/>
        <v>1.5707963267948966</v>
      </c>
      <c r="AJ251" s="98" t="str">
        <f t="shared" si="145"/>
        <v>1+0.0649912137596977i</v>
      </c>
      <c r="AK251" s="98">
        <f t="shared" si="160"/>
        <v>1.0021097035085325</v>
      </c>
      <c r="AL251" s="98">
        <f t="shared" si="161"/>
        <v>6.4899940413840895E-2</v>
      </c>
      <c r="AM251" s="98" t="str">
        <f t="shared" si="146"/>
        <v>1+165.49717169299i</v>
      </c>
      <c r="AN251" s="98">
        <f t="shared" si="162"/>
        <v>165.500192865081</v>
      </c>
      <c r="AO251" s="98">
        <f t="shared" si="163"/>
        <v>1.5647540009965737</v>
      </c>
      <c r="AP251" s="168" t="str">
        <f t="shared" si="164"/>
        <v>-26.1116458527971+1.85553322196021i</v>
      </c>
      <c r="AQ251" s="98">
        <f t="shared" si="165"/>
        <v>28.358560490697489</v>
      </c>
      <c r="AR251" s="169">
        <f t="shared" si="166"/>
        <v>175.93530755694945</v>
      </c>
      <c r="AS251" s="168" t="str">
        <f t="shared" si="167"/>
        <v>0.0209277261540046+1.47325739855806i</v>
      </c>
      <c r="AT251" s="190">
        <f t="shared" si="168"/>
        <v>3.3664488637361334</v>
      </c>
      <c r="AU251" s="169">
        <f t="shared" si="169"/>
        <v>89.186164112750845</v>
      </c>
      <c r="AV251" s="225"/>
      <c r="AX251">
        <f t="shared" si="170"/>
        <v>0</v>
      </c>
      <c r="AY251">
        <f t="shared" si="171"/>
        <v>0</v>
      </c>
    </row>
    <row r="252" spans="14:51" x14ac:dyDescent="0.2">
      <c r="N252" s="170">
        <v>34</v>
      </c>
      <c r="O252" s="199">
        <f t="shared" si="172"/>
        <v>2187.7616239495528</v>
      </c>
      <c r="P252" s="189" t="str">
        <f t="shared" si="138"/>
        <v>771.276595744681</v>
      </c>
      <c r="Q252" s="160" t="str">
        <f t="shared" si="139"/>
        <v>1+14021.0339250354i</v>
      </c>
      <c r="R252" s="160">
        <f t="shared" si="147"/>
        <v>14021.033960696108</v>
      </c>
      <c r="S252" s="160">
        <f t="shared" si="148"/>
        <v>1.5707250053785409</v>
      </c>
      <c r="T252" s="160" t="str">
        <f t="shared" si="140"/>
        <v>1+0.00329906680589069i</v>
      </c>
      <c r="U252" s="160">
        <f t="shared" si="149"/>
        <v>1.0000054419060878</v>
      </c>
      <c r="V252" s="160">
        <f t="shared" si="150"/>
        <v>3.2990548371284599E-3</v>
      </c>
      <c r="W252" s="98" t="str">
        <f t="shared" si="141"/>
        <v>1-0.0093473559500236i</v>
      </c>
      <c r="X252" s="160">
        <f t="shared" si="151"/>
        <v>1.0000436855774133</v>
      </c>
      <c r="Y252" s="160">
        <f t="shared" si="152"/>
        <v>-9.347083728586782E-3</v>
      </c>
      <c r="Z252" s="98" t="str">
        <f t="shared" si="142"/>
        <v>0.998085479630709-0.063999590678877i</v>
      </c>
      <c r="AA252" s="160">
        <f t="shared" si="153"/>
        <v>1.0001352769784326</v>
      </c>
      <c r="AB252" s="160">
        <f t="shared" si="154"/>
        <v>-6.4034686951459474E-2</v>
      </c>
      <c r="AC252" s="171" t="str">
        <f t="shared" si="155"/>
        <v>0.00319161582410626-0.0549111254436043i</v>
      </c>
      <c r="AD252" s="190">
        <f t="shared" si="156"/>
        <v>-25.192145979020001</v>
      </c>
      <c r="AE252" s="169">
        <f t="shared" si="157"/>
        <v>-86.673522808947595</v>
      </c>
      <c r="AF252" s="98" t="str">
        <f t="shared" si="143"/>
        <v>-0.0000119284294234592</v>
      </c>
      <c r="AG252" s="98" t="str">
        <f t="shared" si="144"/>
        <v>0.0000770084669165033i</v>
      </c>
      <c r="AH252" s="98">
        <f t="shared" si="158"/>
        <v>7.7008466916503296E-5</v>
      </c>
      <c r="AI252" s="98">
        <f t="shared" si="159"/>
        <v>1.5707963267948966</v>
      </c>
      <c r="AJ252" s="98" t="str">
        <f t="shared" si="145"/>
        <v>1+0.0665050536001192i</v>
      </c>
      <c r="AK252" s="98">
        <f t="shared" si="160"/>
        <v>1.0022090211898687</v>
      </c>
      <c r="AL252" s="98">
        <f t="shared" si="161"/>
        <v>6.6407264086833687E-2</v>
      </c>
      <c r="AM252" s="98" t="str">
        <f t="shared" si="146"/>
        <v>1+169.352096035722i</v>
      </c>
      <c r="AN252" s="98">
        <f t="shared" si="162"/>
        <v>169.3550484387531</v>
      </c>
      <c r="AO252" s="98">
        <f t="shared" si="163"/>
        <v>1.5648915378893922</v>
      </c>
      <c r="AP252" s="168" t="str">
        <f t="shared" si="164"/>
        <v>-26.1064708452522+1.89110987817364i</v>
      </c>
      <c r="AQ252" s="98">
        <f t="shared" si="165"/>
        <v>28.357692550787238</v>
      </c>
      <c r="AR252" s="169">
        <f t="shared" si="166"/>
        <v>175.85682455561266</v>
      </c>
      <c r="AS252" s="168" t="str">
        <f t="shared" si="167"/>
        <v>0.0205211462867563+1.43957139168574i</v>
      </c>
      <c r="AT252" s="190">
        <f t="shared" si="168"/>
        <v>3.1655465717672113</v>
      </c>
      <c r="AU252" s="169">
        <f t="shared" si="169"/>
        <v>89.183301746665066</v>
      </c>
      <c r="AV252" s="225"/>
      <c r="AX252">
        <f t="shared" si="170"/>
        <v>0</v>
      </c>
      <c r="AY252">
        <f t="shared" si="171"/>
        <v>0</v>
      </c>
    </row>
    <row r="253" spans="14:51" x14ac:dyDescent="0.2">
      <c r="N253" s="170">
        <v>35</v>
      </c>
      <c r="O253" s="199">
        <f t="shared" si="172"/>
        <v>2238.7211385683418</v>
      </c>
      <c r="P253" s="189" t="str">
        <f t="shared" si="138"/>
        <v>771.276595744681</v>
      </c>
      <c r="Q253" s="160" t="str">
        <f t="shared" si="139"/>
        <v>1+14347.6257600195i</v>
      </c>
      <c r="R253" s="160">
        <f t="shared" si="147"/>
        <v>14347.625794868471</v>
      </c>
      <c r="S253" s="160">
        <f t="shared" si="148"/>
        <v>1.5707266288521773</v>
      </c>
      <c r="T253" s="160" t="str">
        <f t="shared" si="140"/>
        <v>1+0.003375911943534i</v>
      </c>
      <c r="U253" s="160">
        <f t="shared" si="149"/>
        <v>1.0000056983744896</v>
      </c>
      <c r="V253" s="160">
        <f t="shared" si="150"/>
        <v>3.3758991187781578E-3</v>
      </c>
      <c r="W253" s="98" t="str">
        <f t="shared" si="141"/>
        <v>1-0.00956508384001298i</v>
      </c>
      <c r="X253" s="160">
        <f t="shared" si="151"/>
        <v>1.0000457443681596</v>
      </c>
      <c r="Y253" s="160">
        <f t="shared" si="152"/>
        <v>-9.5647921502087438E-3</v>
      </c>
      <c r="Z253" s="98" t="str">
        <f t="shared" si="142"/>
        <v>0.997995251065491-0.0654903326505316i</v>
      </c>
      <c r="AA253" s="160">
        <f t="shared" si="153"/>
        <v>1.000141742364526</v>
      </c>
      <c r="AB253" s="160">
        <f t="shared" si="154"/>
        <v>-6.5527936325985942E-2</v>
      </c>
      <c r="AC253" s="171" t="str">
        <f t="shared" si="155"/>
        <v>0.00319143316004483-0.053656711062227i</v>
      </c>
      <c r="AD253" s="190">
        <f t="shared" si="156"/>
        <v>-25.392182018605066</v>
      </c>
      <c r="AE253" s="169">
        <f t="shared" si="157"/>
        <v>-86.596129860919348</v>
      </c>
      <c r="AF253" s="98" t="str">
        <f t="shared" si="143"/>
        <v>-0.0000119284294234592</v>
      </c>
      <c r="AG253" s="98" t="str">
        <f t="shared" si="144"/>
        <v>0.0000788022245419422i</v>
      </c>
      <c r="AH253" s="98">
        <f t="shared" si="158"/>
        <v>7.8802224541942205E-5</v>
      </c>
      <c r="AI253" s="98">
        <f t="shared" si="159"/>
        <v>1.5707963267948966</v>
      </c>
      <c r="AJ253" s="98" t="str">
        <f t="shared" si="145"/>
        <v>1+0.0680541553002581i</v>
      </c>
      <c r="AK253" s="98">
        <f t="shared" si="160"/>
        <v>1.0023130090214492</v>
      </c>
      <c r="AL253" s="98">
        <f t="shared" si="161"/>
        <v>6.7949385004146018E-2</v>
      </c>
      <c r="AM253" s="98" t="str">
        <f t="shared" si="146"/>
        <v>1+173.296813101412i</v>
      </c>
      <c r="AN253" s="98">
        <f t="shared" si="162"/>
        <v>173.29969830067714</v>
      </c>
      <c r="AO253" s="98">
        <f t="shared" si="163"/>
        <v>1.5650259442761749</v>
      </c>
      <c r="AP253" s="168" t="str">
        <f t="shared" si="164"/>
        <v>-26.1010541451915+1.92765692695069i</v>
      </c>
      <c r="AQ253" s="98">
        <f t="shared" si="165"/>
        <v>28.356784546457167</v>
      </c>
      <c r="AR253" s="169">
        <f t="shared" si="166"/>
        <v>175.7761684542541</v>
      </c>
      <c r="AS253" s="168" t="str">
        <f t="shared" si="167"/>
        <v>0.0201319610454039+1.40664870892594i</v>
      </c>
      <c r="AT253" s="190">
        <f t="shared" si="168"/>
        <v>2.9646025278520853</v>
      </c>
      <c r="AU253" s="169">
        <f t="shared" si="169"/>
        <v>89.180038593334757</v>
      </c>
      <c r="AV253" s="225"/>
      <c r="AX253">
        <f t="shared" si="170"/>
        <v>0</v>
      </c>
      <c r="AY253">
        <f t="shared" si="171"/>
        <v>0</v>
      </c>
    </row>
    <row r="254" spans="14:51" x14ac:dyDescent="0.2">
      <c r="N254" s="170">
        <v>36</v>
      </c>
      <c r="O254" s="199">
        <f t="shared" si="172"/>
        <v>2290.8676527677749</v>
      </c>
      <c r="P254" s="189" t="str">
        <f t="shared" si="138"/>
        <v>771.276595744681</v>
      </c>
      <c r="Q254" s="160" t="str">
        <f t="shared" si="139"/>
        <v>1+14681.8248960948i</v>
      </c>
      <c r="R254" s="160">
        <f t="shared" si="147"/>
        <v>14681.824930150511</v>
      </c>
      <c r="S254" s="160">
        <f t="shared" si="148"/>
        <v>1.5707282153710422</v>
      </c>
      <c r="T254" s="160" t="str">
        <f t="shared" si="140"/>
        <v>1+0.00345454703437524i</v>
      </c>
      <c r="U254" s="160">
        <f t="shared" si="149"/>
        <v>1.0000059669298043</v>
      </c>
      <c r="V254" s="160">
        <f t="shared" si="150"/>
        <v>3.4545332924061987E-3</v>
      </c>
      <c r="W254" s="98" t="str">
        <f t="shared" si="141"/>
        <v>1-0.00978788326406316i</v>
      </c>
      <c r="X254" s="160">
        <f t="shared" si="151"/>
        <v>1.0000479001821818</v>
      </c>
      <c r="Y254" s="160">
        <f t="shared" si="152"/>
        <v>-9.7875707136153168E-3</v>
      </c>
      <c r="Z254" s="98" t="str">
        <f t="shared" si="142"/>
        <v>0.997900770159001-0.0670157984634244i</v>
      </c>
      <c r="AA254" s="160">
        <f t="shared" si="153"/>
        <v>1.0001485211345451</v>
      </c>
      <c r="AB254" s="160">
        <f t="shared" si="154"/>
        <v>-6.7056088544872411E-2</v>
      </c>
      <c r="AC254" s="171" t="str">
        <f t="shared" si="155"/>
        <v>0.00319125810087104-0.0524307453701477i</v>
      </c>
      <c r="AD254" s="190">
        <f t="shared" si="156"/>
        <v>-25.592219831845561</v>
      </c>
      <c r="AE254" s="169">
        <f t="shared" si="157"/>
        <v>-86.516922954333481</v>
      </c>
      <c r="AF254" s="98" t="str">
        <f t="shared" si="143"/>
        <v>-0.0000119284294234592</v>
      </c>
      <c r="AG254" s="98" t="str">
        <f t="shared" si="144"/>
        <v>0.0000806377641499039i</v>
      </c>
      <c r="AH254" s="98">
        <f t="shared" si="158"/>
        <v>8.0637764149903897E-5</v>
      </c>
      <c r="AI254" s="98">
        <f t="shared" si="159"/>
        <v>1.5707963267948966</v>
      </c>
      <c r="AJ254" s="98" t="str">
        <f t="shared" si="145"/>
        <v>1+0.0696393402143402i</v>
      </c>
      <c r="AK254" s="98">
        <f t="shared" si="160"/>
        <v>1.0024218860866358</v>
      </c>
      <c r="AL254" s="98">
        <f t="shared" si="161"/>
        <v>6.9527091463196522E-2</v>
      </c>
      <c r="AM254" s="98" t="str">
        <f t="shared" si="146"/>
        <v>1+177.333414431262i</v>
      </c>
      <c r="AN254" s="98">
        <f t="shared" si="162"/>
        <v>177.33623395643016</v>
      </c>
      <c r="AO254" s="98">
        <f t="shared" si="163"/>
        <v>1.5651572914015317</v>
      </c>
      <c r="AP254" s="168" t="str">
        <f t="shared" si="164"/>
        <v>-26.0953845725633+1.96519145757671i</v>
      </c>
      <c r="AQ254" s="98">
        <f t="shared" si="165"/>
        <v>28.355834577494619</v>
      </c>
      <c r="AR254" s="169">
        <f t="shared" si="166"/>
        <v>175.69329816877408</v>
      </c>
      <c r="AS254" s="168" t="str">
        <f t="shared" si="167"/>
        <v>0.0197593455032561+1.3744718970189i</v>
      </c>
      <c r="AT254" s="190">
        <f t="shared" si="168"/>
        <v>2.7636147456490523</v>
      </c>
      <c r="AU254" s="169">
        <f t="shared" si="169"/>
        <v>89.176375214440625</v>
      </c>
      <c r="AV254" s="225"/>
      <c r="AX254">
        <f t="shared" si="170"/>
        <v>0</v>
      </c>
      <c r="AY254">
        <f t="shared" si="171"/>
        <v>0</v>
      </c>
    </row>
    <row r="255" spans="14:51" x14ac:dyDescent="0.2">
      <c r="N255" s="170">
        <v>37</v>
      </c>
      <c r="O255" s="199">
        <f t="shared" si="172"/>
        <v>2344.2288153199238</v>
      </c>
      <c r="P255" s="189" t="str">
        <f t="shared" si="138"/>
        <v>771.276595744681</v>
      </c>
      <c r="Q255" s="160" t="str">
        <f t="shared" si="139"/>
        <v>1+15023.8085300669i</v>
      </c>
      <c r="R255" s="160">
        <f t="shared" si="147"/>
        <v>15023.808563347407</v>
      </c>
      <c r="S255" s="160">
        <f t="shared" si="148"/>
        <v>1.5707297657763293</v>
      </c>
      <c r="T255" s="160" t="str">
        <f t="shared" si="140"/>
        <v>1+0.00353501377178045i</v>
      </c>
      <c r="U255" s="160">
        <f t="shared" si="149"/>
        <v>1.0000062481416636</v>
      </c>
      <c r="V255" s="160">
        <f t="shared" si="150"/>
        <v>3.5349990470002987E-3</v>
      </c>
      <c r="W255" s="98" t="str">
        <f t="shared" si="141"/>
        <v>1-0.0100158723533779i</v>
      </c>
      <c r="X255" s="160">
        <f t="shared" si="151"/>
        <v>1.0000501575916076</v>
      </c>
      <c r="Y255" s="160">
        <f t="shared" si="152"/>
        <v>-1.0015537450446364E-2</v>
      </c>
      <c r="Z255" s="98" t="str">
        <f t="shared" si="142"/>
        <v>0.997801836504569-0.0685767969397216i</v>
      </c>
      <c r="AA255" s="160">
        <f t="shared" si="153"/>
        <v>1.0001556288950249</v>
      </c>
      <c r="AB255" s="160">
        <f t="shared" si="154"/>
        <v>-6.8619965192815296E-2</v>
      </c>
      <c r="AC255" s="171" t="str">
        <f t="shared" si="155"/>
        <v>0.00319109026741914-0.0512325782867059i</v>
      </c>
      <c r="AD255" s="190">
        <f t="shared" si="156"/>
        <v>-25.792259509566495</v>
      </c>
      <c r="AE255" s="169">
        <f t="shared" si="157"/>
        <v>-86.435859438162979</v>
      </c>
      <c r="AF255" s="98" t="str">
        <f t="shared" si="143"/>
        <v>-0.0000119284294234592</v>
      </c>
      <c r="AG255" s="98" t="str">
        <f t="shared" si="144"/>
        <v>0.0000825160589677848i</v>
      </c>
      <c r="AH255" s="98">
        <f t="shared" si="158"/>
        <v>8.2516058967784805E-5</v>
      </c>
      <c r="AI255" s="98">
        <f t="shared" si="159"/>
        <v>1.5707963267948966</v>
      </c>
      <c r="AJ255" s="98" t="str">
        <f t="shared" si="145"/>
        <v>1+0.0712614488283897i</v>
      </c>
      <c r="AK255" s="98">
        <f t="shared" si="160"/>
        <v>1.002535881696571</v>
      </c>
      <c r="AL255" s="98">
        <f t="shared" si="161"/>
        <v>7.1141188549894499E-2</v>
      </c>
      <c r="AM255" s="98" t="str">
        <f t="shared" si="146"/>
        <v>1+181.46404028473i</v>
      </c>
      <c r="AN255" s="98">
        <f t="shared" si="162"/>
        <v>181.46679563065558</v>
      </c>
      <c r="AO255" s="98">
        <f t="shared" si="163"/>
        <v>1.5652856488893083</v>
      </c>
      <c r="AP255" s="168" t="str">
        <f t="shared" si="164"/>
        <v>-26.0894504405103+2.00373092185443i</v>
      </c>
      <c r="AQ255" s="98">
        <f t="shared" si="165"/>
        <v>28.354840657145836</v>
      </c>
      <c r="AR255" s="169">
        <f t="shared" si="166"/>
        <v>175.60817156030041</v>
      </c>
      <c r="AS255" s="168" t="str">
        <f t="shared" si="167"/>
        <v>0.0194025099363741+1.34302389839383i</v>
      </c>
      <c r="AT255" s="190">
        <f t="shared" si="168"/>
        <v>2.5625811475793143</v>
      </c>
      <c r="AU255" s="169">
        <f t="shared" si="169"/>
        <v>89.172312122137427</v>
      </c>
      <c r="AV255" s="225"/>
      <c r="AX255">
        <f t="shared" si="170"/>
        <v>0</v>
      </c>
      <c r="AY255">
        <f t="shared" si="171"/>
        <v>0</v>
      </c>
    </row>
    <row r="256" spans="14:51" x14ac:dyDescent="0.2">
      <c r="N256" s="170">
        <v>38</v>
      </c>
      <c r="O256" s="199">
        <f t="shared" si="172"/>
        <v>2398.8329190194918</v>
      </c>
      <c r="P256" s="189" t="str">
        <f t="shared" si="138"/>
        <v>771.276595744681</v>
      </c>
      <c r="Q256" s="160" t="str">
        <f t="shared" si="139"/>
        <v>1+15373.7579861852i</v>
      </c>
      <c r="R256" s="160">
        <f t="shared" si="147"/>
        <v>15373.758018708151</v>
      </c>
      <c r="S256" s="160">
        <f t="shared" si="148"/>
        <v>1.5707312808900835</v>
      </c>
      <c r="T256" s="160" t="str">
        <f t="shared" si="140"/>
        <v>1+0.00361735482027888i</v>
      </c>
      <c r="U256" s="160">
        <f t="shared" si="149"/>
        <v>1.000006542606545</v>
      </c>
      <c r="V256" s="160">
        <f t="shared" si="150"/>
        <v>3.6173390423982579E-3</v>
      </c>
      <c r="W256" s="98" t="str">
        <f t="shared" si="141"/>
        <v>1-0.0102491719907901i</v>
      </c>
      <c r="X256" s="160">
        <f t="shared" si="151"/>
        <v>1.0000525213840006</v>
      </c>
      <c r="Y256" s="160">
        <f t="shared" si="152"/>
        <v>-1.0248813136851453E-2</v>
      </c>
      <c r="Z256" s="98" t="str">
        <f t="shared" si="142"/>
        <v>0.997698240250651-0.0701741557414772i</v>
      </c>
      <c r="AA256" s="160">
        <f t="shared" si="153"/>
        <v>1.0001630820687568</v>
      </c>
      <c r="AB256" s="160">
        <f t="shared" si="154"/>
        <v>-7.0220407602320706E-2</v>
      </c>
      <c r="AC256" s="171" t="str">
        <f t="shared" si="155"/>
        <v>0.00319092929509412-0.0500615744663502i</v>
      </c>
      <c r="AD256" s="190">
        <f t="shared" si="156"/>
        <v>-25.992301147571414</v>
      </c>
      <c r="AE256" s="169">
        <f t="shared" si="157"/>
        <v>-86.352895630440756</v>
      </c>
      <c r="AF256" s="98" t="str">
        <f t="shared" si="143"/>
        <v>-0.0000119284294234592</v>
      </c>
      <c r="AG256" s="98" t="str">
        <f t="shared" si="144"/>
        <v>0.0000844381048923597i</v>
      </c>
      <c r="AH256" s="98">
        <f t="shared" si="158"/>
        <v>8.4438104892359698E-5</v>
      </c>
      <c r="AI256" s="98">
        <f t="shared" si="159"/>
        <v>1.5707963267948966</v>
      </c>
      <c r="AJ256" s="98" t="str">
        <f t="shared" si="145"/>
        <v>1+0.0729213412058645i</v>
      </c>
      <c r="AK256" s="98">
        <f t="shared" si="160"/>
        <v>1.0026552358628873</v>
      </c>
      <c r="AL256" s="98">
        <f t="shared" si="161"/>
        <v>7.2792498419212828E-2</v>
      </c>
      <c r="AM256" s="98" t="str">
        <f t="shared" si="146"/>
        <v>1+185.690880774316i</v>
      </c>
      <c r="AN256" s="98">
        <f t="shared" si="162"/>
        <v>185.69357340183112</v>
      </c>
      <c r="AO256" s="98">
        <f t="shared" si="163"/>
        <v>1.565411084779416</v>
      </c>
      <c r="AP256" s="168" t="str">
        <f t="shared" si="164"/>
        <v>-26.0832395333905+2.04329313215304i</v>
      </c>
      <c r="AQ256" s="98">
        <f t="shared" si="165"/>
        <v>28.353800708137772</v>
      </c>
      <c r="AR256" s="169">
        <f t="shared" si="166"/>
        <v>175.52074542122281</v>
      </c>
      <c r="AS256" s="168" t="str">
        <f t="shared" si="167"/>
        <v>0.0190606981538085+1.31228804213833i</v>
      </c>
      <c r="AT256" s="190">
        <f t="shared" si="168"/>
        <v>2.3614995605663607</v>
      </c>
      <c r="AU256" s="169">
        <f t="shared" si="169"/>
        <v>89.167849790782057</v>
      </c>
      <c r="AV256" s="225"/>
      <c r="AX256">
        <f t="shared" si="170"/>
        <v>0</v>
      </c>
      <c r="AY256">
        <f t="shared" si="171"/>
        <v>0</v>
      </c>
    </row>
    <row r="257" spans="14:51" x14ac:dyDescent="0.2">
      <c r="N257" s="170">
        <v>39</v>
      </c>
      <c r="O257" s="199">
        <f t="shared" si="172"/>
        <v>2454.7089156850338</v>
      </c>
      <c r="P257" s="189" t="str">
        <f t="shared" si="138"/>
        <v>771.276595744681</v>
      </c>
      <c r="Q257" s="160" t="str">
        <f t="shared" si="139"/>
        <v>1+15731.8588122836i</v>
      </c>
      <c r="R257" s="160">
        <f t="shared" si="147"/>
        <v>15731.858844066241</v>
      </c>
      <c r="S257" s="160">
        <f t="shared" si="148"/>
        <v>1.5707327615156383</v>
      </c>
      <c r="T257" s="160" t="str">
        <f t="shared" si="140"/>
        <v>1+0.00370161383818437i</v>
      </c>
      <c r="U257" s="160">
        <f t="shared" si="149"/>
        <v>1.0000068509490359</v>
      </c>
      <c r="V257" s="160">
        <f t="shared" si="150"/>
        <v>3.7015969318869432E-3</v>
      </c>
      <c r="W257" s="98" t="str">
        <f t="shared" si="141"/>
        <v>1-0.0104879058748557i</v>
      </c>
      <c r="X257" s="160">
        <f t="shared" si="151"/>
        <v>1.0000549965725085</v>
      </c>
      <c r="Y257" s="160">
        <f t="shared" si="152"/>
        <v>-1.0487521357074746E-2</v>
      </c>
      <c r="Z257" s="98" t="str">
        <f t="shared" si="142"/>
        <v>0.997589761655703-0.0718087218094717i</v>
      </c>
      <c r="AA257" s="160">
        <f t="shared" si="153"/>
        <v>1.0001708979410431</v>
      </c>
      <c r="AB257" s="160">
        <f t="shared" si="154"/>
        <v>-7.1858277356884812E-2</v>
      </c>
      <c r="AC257" s="171" t="str">
        <f t="shared" si="155"/>
        <v>0.00319077483302539-0.0489171129614821i</v>
      </c>
      <c r="AD257" s="190">
        <f t="shared" si="156"/>
        <v>-26.192344846944444</v>
      </c>
      <c r="AE257" s="169">
        <f t="shared" si="157"/>
        <v>-86.267986791802969</v>
      </c>
      <c r="AF257" s="98" t="str">
        <f t="shared" si="143"/>
        <v>-0.0000119284294234592</v>
      </c>
      <c r="AG257" s="98" t="str">
        <f t="shared" si="144"/>
        <v>0.000086404921017819i</v>
      </c>
      <c r="AH257" s="98">
        <f t="shared" si="158"/>
        <v>8.6404921017818999E-5</v>
      </c>
      <c r="AI257" s="98">
        <f t="shared" si="159"/>
        <v>1.5707963267948966</v>
      </c>
      <c r="AJ257" s="98" t="str">
        <f t="shared" si="145"/>
        <v>1+0.0746198974436748i</v>
      </c>
      <c r="AK257" s="98">
        <f t="shared" si="160"/>
        <v>1.0027801997918111</v>
      </c>
      <c r="AL257" s="98">
        <f t="shared" si="161"/>
        <v>7.4481860574643885E-2</v>
      </c>
      <c r="AM257" s="98" t="str">
        <f t="shared" si="146"/>
        <v>1+190.016177026798i</v>
      </c>
      <c r="AN257" s="98">
        <f t="shared" si="162"/>
        <v>190.01880836348656</v>
      </c>
      <c r="AO257" s="98">
        <f t="shared" si="163"/>
        <v>1.5655336655638259</v>
      </c>
      <c r="AP257" s="168" t="str">
        <f t="shared" si="164"/>
        <v>-26.0767390839425+2.08389625888525i</v>
      </c>
      <c r="AQ257" s="98">
        <f t="shared" si="165"/>
        <v>28.352712558530754</v>
      </c>
      <c r="AR257" s="169">
        <f t="shared" si="166"/>
        <v>175.43097546124358</v>
      </c>
      <c r="AS257" s="168" t="str">
        <f t="shared" si="167"/>
        <v>0.0187331858994864+1.2822480351738i</v>
      </c>
      <c r="AT257" s="190">
        <f t="shared" si="168"/>
        <v>2.1603677115863298</v>
      </c>
      <c r="AU257" s="169">
        <f t="shared" si="169"/>
        <v>89.162988669440608</v>
      </c>
      <c r="AV257" s="225"/>
      <c r="AX257">
        <f t="shared" si="170"/>
        <v>0</v>
      </c>
      <c r="AY257">
        <f t="shared" si="171"/>
        <v>0</v>
      </c>
    </row>
    <row r="258" spans="14:51" x14ac:dyDescent="0.2">
      <c r="N258" s="170">
        <v>40</v>
      </c>
      <c r="O258" s="199">
        <f t="shared" si="172"/>
        <v>2511.8864315095811</v>
      </c>
      <c r="P258" s="189" t="str">
        <f t="shared" si="138"/>
        <v>771.276595744681</v>
      </c>
      <c r="Q258" s="160" t="str">
        <f t="shared" si="139"/>
        <v>1+16098.3008781601i</v>
      </c>
      <c r="R258" s="160">
        <f t="shared" si="147"/>
        <v>16098.300909219279</v>
      </c>
      <c r="S258" s="160">
        <f t="shared" si="148"/>
        <v>1.5707342084380413</v>
      </c>
      <c r="T258" s="160" t="str">
        <f t="shared" si="140"/>
        <v>1+0.00378783550074355i</v>
      </c>
      <c r="U258" s="160">
        <f t="shared" si="149"/>
        <v>1.0000071738231584</v>
      </c>
      <c r="V258" s="160">
        <f t="shared" si="150"/>
        <v>3.7878173853264962E-3</v>
      </c>
      <c r="W258" s="98" t="str">
        <f t="shared" si="141"/>
        <v>1-0.01073220058544i</v>
      </c>
      <c r="X258" s="160">
        <f t="shared" si="151"/>
        <v>1.0000575884064908</v>
      </c>
      <c r="Y258" s="160">
        <f t="shared" si="152"/>
        <v>-1.0731788568495909E-2</v>
      </c>
      <c r="Z258" s="98" t="str">
        <f t="shared" si="142"/>
        <v>0.997476170622079-0.0734813618122708i</v>
      </c>
      <c r="AA258" s="160">
        <f t="shared" si="153"/>
        <v>1.0001790947088791</v>
      </c>
      <c r="AB258" s="160">
        <f t="shared" si="154"/>
        <v>-7.3534456808922954E-2</v>
      </c>
      <c r="AC258" s="171" t="str">
        <f t="shared" si="155"/>
        <v>0.00319062654324299-0.0477985868929163i</v>
      </c>
      <c r="AD258" s="190">
        <f t="shared" si="156"/>
        <v>-26.392390714372546</v>
      </c>
      <c r="AE258" s="169">
        <f t="shared" si="157"/>
        <v>-86.181087098239658</v>
      </c>
      <c r="AF258" s="98" t="str">
        <f t="shared" si="143"/>
        <v>-0.0000119284294234592</v>
      </c>
      <c r="AG258" s="98" t="str">
        <f t="shared" si="144"/>
        <v>0.0000884175501761061i</v>
      </c>
      <c r="AH258" s="98">
        <f t="shared" si="158"/>
        <v>8.8417550176106093E-5</v>
      </c>
      <c r="AI258" s="98">
        <f t="shared" si="159"/>
        <v>1.5707963267948966</v>
      </c>
      <c r="AJ258" s="98" t="str">
        <f t="shared" si="145"/>
        <v>1+0.0763580181388213i</v>
      </c>
      <c r="AK258" s="98">
        <f t="shared" si="160"/>
        <v>1.0029110364005815</v>
      </c>
      <c r="AL258" s="98">
        <f t="shared" si="161"/>
        <v>7.6210132145989568E-2</v>
      </c>
      <c r="AM258" s="98" t="str">
        <f t="shared" si="146"/>
        <v>1+194.442222371502i</v>
      </c>
      <c r="AN258" s="98">
        <f t="shared" si="162"/>
        <v>194.44479381245628</v>
      </c>
      <c r="AO258" s="98">
        <f t="shared" si="163"/>
        <v>1.5656534562217488</v>
      </c>
      <c r="AP258" s="168" t="str">
        <f t="shared" si="164"/>
        <v>-26.0699357495691+2.12555882736027i</v>
      </c>
      <c r="AQ258" s="98">
        <f t="shared" si="165"/>
        <v>28.351573937394402</v>
      </c>
      <c r="AR258" s="169">
        <f t="shared" si="166"/>
        <v>175.33881629347709</v>
      </c>
      <c r="AS258" s="168" t="str">
        <f t="shared" si="167"/>
        <v>0.0184192793223706+1.25288795363232i</v>
      </c>
      <c r="AT258" s="190">
        <f t="shared" si="168"/>
        <v>1.9591832230218347</v>
      </c>
      <c r="AU258" s="169">
        <f t="shared" si="169"/>
        <v>89.157729195237437</v>
      </c>
      <c r="AV258" s="225"/>
      <c r="AX258">
        <f t="shared" si="170"/>
        <v>0</v>
      </c>
      <c r="AY258">
        <f t="shared" si="171"/>
        <v>0</v>
      </c>
    </row>
    <row r="259" spans="14:51" x14ac:dyDescent="0.2">
      <c r="N259" s="170">
        <v>41</v>
      </c>
      <c r="O259" s="199">
        <f t="shared" si="172"/>
        <v>2570.3957827688669</v>
      </c>
      <c r="P259" s="189" t="str">
        <f t="shared" si="138"/>
        <v>771.276595744681</v>
      </c>
      <c r="Q259" s="160" t="str">
        <f t="shared" si="139"/>
        <v>1+16473.2784762483i</v>
      </c>
      <c r="R259" s="160">
        <f t="shared" si="147"/>
        <v>16473.27850660048</v>
      </c>
      <c r="S259" s="160">
        <f t="shared" si="148"/>
        <v>1.5707356224244695</v>
      </c>
      <c r="T259" s="160" t="str">
        <f t="shared" si="140"/>
        <v>1+0.00387606552382313i</v>
      </c>
      <c r="U259" s="160">
        <f t="shared" si="149"/>
        <v>1.0000075119137581</v>
      </c>
      <c r="V259" s="160">
        <f t="shared" si="150"/>
        <v>3.8760461128119093E-3</v>
      </c>
      <c r="W259" s="98" t="str">
        <f t="shared" si="141"/>
        <v>1-0.0109821856508322i</v>
      </c>
      <c r="X259" s="160">
        <f t="shared" si="151"/>
        <v>1.000060302382646</v>
      </c>
      <c r="Y259" s="160">
        <f t="shared" si="152"/>
        <v>-1.0981744168160277E-2</v>
      </c>
      <c r="Z259" s="98" t="str">
        <f t="shared" si="142"/>
        <v>0.99735722620797-0.0751929626057432i</v>
      </c>
      <c r="AA259" s="160">
        <f t="shared" si="153"/>
        <v>1.0001876915332863</v>
      </c>
      <c r="AB259" s="160">
        <f t="shared" si="154"/>
        <v>-7.5249849613002004E-2</v>
      </c>
      <c r="AC259" s="171" t="str">
        <f t="shared" si="155"/>
        <v>0.00319048409987266-0.0467054031277755i</v>
      </c>
      <c r="AD259" s="190">
        <f t="shared" si="156"/>
        <v>-26.59243886249072</v>
      </c>
      <c r="AE259" s="169">
        <f t="shared" si="157"/>
        <v>-86.092149613023167</v>
      </c>
      <c r="AF259" s="98" t="str">
        <f t="shared" si="143"/>
        <v>-0.0000119284294234592</v>
      </c>
      <c r="AG259" s="98" t="str">
        <f t="shared" si="144"/>
        <v>0.0000904770594898414i</v>
      </c>
      <c r="AH259" s="98">
        <f t="shared" si="158"/>
        <v>9.0477059489841406E-5</v>
      </c>
      <c r="AI259" s="98">
        <f t="shared" si="159"/>
        <v>1.5707963267948966</v>
      </c>
      <c r="AJ259" s="98" t="str">
        <f t="shared" si="145"/>
        <v>1+0.0781366248659023i</v>
      </c>
      <c r="AK259" s="98">
        <f t="shared" si="160"/>
        <v>1.0030480208571446</v>
      </c>
      <c r="AL259" s="98">
        <f t="shared" si="161"/>
        <v>7.7978188164896364E-2</v>
      </c>
      <c r="AM259" s="98" t="str">
        <f t="shared" si="146"/>
        <v>1+198.971363556254i</v>
      </c>
      <c r="AN259" s="98">
        <f t="shared" si="162"/>
        <v>198.97387646481383</v>
      </c>
      <c r="AO259" s="98">
        <f t="shared" si="163"/>
        <v>1.5657705202540173</v>
      </c>
      <c r="AP259" s="168" t="str">
        <f t="shared" si="164"/>
        <v>-26.0628155877174+2.16829971395825i</v>
      </c>
      <c r="AQ259" s="98">
        <f t="shared" si="165"/>
        <v>28.350382470300616</v>
      </c>
      <c r="AR259" s="169">
        <f t="shared" si="166"/>
        <v>175.24422142063284</v>
      </c>
      <c r="AS259" s="168" t="str">
        <f t="shared" si="167"/>
        <v>0.0181183135117347+1.22419223443035i</v>
      </c>
      <c r="AT259" s="190">
        <f t="shared" si="168"/>
        <v>1.7579436078098685</v>
      </c>
      <c r="AU259" s="169">
        <f t="shared" si="169"/>
        <v>89.152071807609687</v>
      </c>
      <c r="AV259" s="225"/>
      <c r="AX259">
        <f t="shared" si="170"/>
        <v>0</v>
      </c>
      <c r="AY259">
        <f t="shared" si="171"/>
        <v>0</v>
      </c>
    </row>
    <row r="260" spans="14:51" x14ac:dyDescent="0.2">
      <c r="N260" s="170">
        <v>42</v>
      </c>
      <c r="O260" s="199">
        <f t="shared" si="172"/>
        <v>2630.2679918953822</v>
      </c>
      <c r="P260" s="189" t="str">
        <f t="shared" si="138"/>
        <v>771.276595744681</v>
      </c>
      <c r="Q260" s="160" t="str">
        <f t="shared" si="139"/>
        <v>1+16856.9904246342i</v>
      </c>
      <c r="R260" s="160">
        <f t="shared" si="147"/>
        <v>16856.990454295486</v>
      </c>
      <c r="S260" s="160">
        <f t="shared" si="148"/>
        <v>1.5707370042246374</v>
      </c>
      <c r="T260" s="160" t="str">
        <f t="shared" si="140"/>
        <v>1+0.00396635068814923i</v>
      </c>
      <c r="U260" s="160">
        <f t="shared" si="149"/>
        <v>1.0000078659379541</v>
      </c>
      <c r="V260" s="160">
        <f t="shared" si="150"/>
        <v>3.9663298888848088E-3</v>
      </c>
      <c r="W260" s="98" t="str">
        <f t="shared" si="141"/>
        <v>1-0.0112379936164228i</v>
      </c>
      <c r="X260" s="160">
        <f t="shared" si="151"/>
        <v>1.0000631442566628</v>
      </c>
      <c r="Y260" s="160">
        <f t="shared" si="152"/>
        <v>-1.1237520560830081E-2</v>
      </c>
      <c r="Z260" s="98" t="str">
        <f t="shared" si="142"/>
        <v>0.997232676116324-0.0769444317032857i</v>
      </c>
      <c r="AA260" s="160">
        <f t="shared" si="153"/>
        <v>1.0001967085949977</v>
      </c>
      <c r="AB260" s="160">
        <f t="shared" si="154"/>
        <v>-7.700538127496126E-2</v>
      </c>
      <c r="AC260" s="171" t="str">
        <f t="shared" si="155"/>
        <v>0.00319034718834908-0.0456369819646531i</v>
      </c>
      <c r="AD260" s="190">
        <f t="shared" si="156"/>
        <v>-26.792489410250777</v>
      </c>
      <c r="AE260" s="169">
        <f t="shared" si="157"/>
        <v>-86.001126257780612</v>
      </c>
      <c r="AF260" s="98" t="str">
        <f t="shared" si="143"/>
        <v>-0.0000119284294234592</v>
      </c>
      <c r="AG260" s="98" t="str">
        <f t="shared" si="144"/>
        <v>0.0000925845409381236i</v>
      </c>
      <c r="AH260" s="98">
        <f t="shared" si="158"/>
        <v>9.2584540938123606E-5</v>
      </c>
      <c r="AI260" s="98">
        <f t="shared" si="159"/>
        <v>1.5707963267948966</v>
      </c>
      <c r="AJ260" s="98" t="str">
        <f t="shared" si="145"/>
        <v>1+0.0799566606657479i</v>
      </c>
      <c r="AK260" s="98">
        <f t="shared" si="160"/>
        <v>1.0031914411441205</v>
      </c>
      <c r="AL260" s="98">
        <f t="shared" si="161"/>
        <v>7.9786921837501537E-2</v>
      </c>
      <c r="AM260" s="98" t="str">
        <f t="shared" si="146"/>
        <v>1+203.60600199166i</v>
      </c>
      <c r="AN260" s="98">
        <f t="shared" si="162"/>
        <v>203.60845770013546</v>
      </c>
      <c r="AO260" s="98">
        <f t="shared" si="163"/>
        <v>1.5658849197166897</v>
      </c>
      <c r="AP260" s="168" t="str">
        <f t="shared" si="164"/>
        <v>-26.0553640303325+2.21213814156801i</v>
      </c>
      <c r="AQ260" s="98">
        <f t="shared" si="165"/>
        <v>28.349135674626453</v>
      </c>
      <c r="AR260" s="169">
        <f t="shared" si="166"/>
        <v>175.14714322131903</v>
      </c>
      <c r="AS260" s="168" t="str">
        <f t="shared" si="167"/>
        <v>0.0178296510944775+1.19614566703495i</v>
      </c>
      <c r="AT260" s="190">
        <f t="shared" si="168"/>
        <v>1.556646264375698</v>
      </c>
      <c r="AU260" s="169">
        <f t="shared" si="169"/>
        <v>89.146016963538415</v>
      </c>
      <c r="AV260" s="225"/>
      <c r="AX260">
        <f t="shared" si="170"/>
        <v>0</v>
      </c>
      <c r="AY260">
        <f t="shared" si="171"/>
        <v>0</v>
      </c>
    </row>
    <row r="261" spans="14:51" x14ac:dyDescent="0.2">
      <c r="N261" s="170">
        <v>43</v>
      </c>
      <c r="O261" s="199">
        <f t="shared" si="172"/>
        <v>2691.5348039269184</v>
      </c>
      <c r="P261" s="189" t="str">
        <f t="shared" si="138"/>
        <v>771.276595744681</v>
      </c>
      <c r="Q261" s="160" t="str">
        <f t="shared" si="139"/>
        <v>1+17249.640172472i</v>
      </c>
      <c r="R261" s="160">
        <f t="shared" si="147"/>
        <v>17249.640201458114</v>
      </c>
      <c r="S261" s="160">
        <f t="shared" si="148"/>
        <v>1.5707383545711933</v>
      </c>
      <c r="T261" s="160" t="str">
        <f t="shared" si="140"/>
        <v>1+0.00405873886411106i</v>
      </c>
      <c r="U261" s="160">
        <f t="shared" si="149"/>
        <v>1.0000082366466623</v>
      </c>
      <c r="V261" s="160">
        <f t="shared" si="150"/>
        <v>4.0587165773076118E-3</v>
      </c>
      <c r="W261" s="98" t="str">
        <f t="shared" si="141"/>
        <v>1-0.0114997601149813i</v>
      </c>
      <c r="X261" s="160">
        <f t="shared" si="151"/>
        <v>1.0000661200554202</v>
      </c>
      <c r="Y261" s="160">
        <f t="shared" si="152"/>
        <v>-1.1499253228591248E-2</v>
      </c>
      <c r="Z261" s="98" t="str">
        <f t="shared" si="142"/>
        <v>0.9971022561597-0.0787366977569975i</v>
      </c>
      <c r="AA261" s="160">
        <f t="shared" si="153"/>
        <v>1.0002061671537728</v>
      </c>
      <c r="AB261" s="160">
        <f t="shared" si="154"/>
        <v>-7.8801999717521456E-2</v>
      </c>
      <c r="AC261" s="171" t="str">
        <f t="shared" si="155"/>
        <v>0.00319021550464304-0.0445927568258712i</v>
      </c>
      <c r="AD261" s="190">
        <f t="shared" si="156"/>
        <v>-26.992542483316466</v>
      </c>
      <c r="AE261" s="169">
        <f t="shared" si="157"/>
        <v>-85.907967782678696</v>
      </c>
      <c r="AF261" s="98" t="str">
        <f t="shared" si="143"/>
        <v>-0.0000119284294234592</v>
      </c>
      <c r="AG261" s="98" t="str">
        <f t="shared" si="144"/>
        <v>0.0000947411119355125i</v>
      </c>
      <c r="AH261" s="98">
        <f t="shared" si="158"/>
        <v>9.4741111935512501E-5</v>
      </c>
      <c r="AI261" s="98">
        <f t="shared" si="159"/>
        <v>1.5707963267948966</v>
      </c>
      <c r="AJ261" s="98" t="str">
        <f t="shared" si="145"/>
        <v>1+0.0818190905454302i</v>
      </c>
      <c r="AK261" s="98">
        <f t="shared" si="160"/>
        <v>1.0033415986480783</v>
      </c>
      <c r="AL261" s="98">
        <f t="shared" si="161"/>
        <v>8.1637244813487844E-2</v>
      </c>
      <c r="AM261" s="98" t="str">
        <f t="shared" si="146"/>
        <v>1+208.348595024368i</v>
      </c>
      <c r="AN261" s="98">
        <f t="shared" si="162"/>
        <v>208.35099483474542</v>
      </c>
      <c r="AO261" s="98">
        <f t="shared" si="163"/>
        <v>1.5659967152538912</v>
      </c>
      <c r="AP261" s="168" t="str">
        <f t="shared" si="164"/>
        <v>-26.0475658573628+2.25709367422528i</v>
      </c>
      <c r="AQ261" s="98">
        <f t="shared" si="165"/>
        <v>28.347830954659841</v>
      </c>
      <c r="AR261" s="169">
        <f t="shared" si="166"/>
        <v>175.04753293650896</v>
      </c>
      <c r="AS261" s="168" t="str">
        <f t="shared" si="167"/>
        <v>0.0175526808915706+1.16873338541819i</v>
      </c>
      <c r="AT261" s="190">
        <f t="shared" si="168"/>
        <v>1.3552884713433802</v>
      </c>
      <c r="AU261" s="169">
        <f t="shared" si="169"/>
        <v>89.139565153830276</v>
      </c>
      <c r="AV261" s="225"/>
      <c r="AX261">
        <f t="shared" si="170"/>
        <v>0</v>
      </c>
      <c r="AY261">
        <f t="shared" si="171"/>
        <v>0</v>
      </c>
    </row>
    <row r="262" spans="14:51" x14ac:dyDescent="0.2">
      <c r="N262" s="170">
        <v>44</v>
      </c>
      <c r="O262" s="199">
        <f t="shared" si="172"/>
        <v>2754.228703338169</v>
      </c>
      <c r="P262" s="189" t="str">
        <f t="shared" si="138"/>
        <v>771.276595744681</v>
      </c>
      <c r="Q262" s="160" t="str">
        <f t="shared" si="139"/>
        <v>1+17651.4359078552i</v>
      </c>
      <c r="R262" s="160">
        <f t="shared" si="147"/>
        <v>17651.435936181508</v>
      </c>
      <c r="S262" s="160">
        <f t="shared" si="148"/>
        <v>1.5707396741801094</v>
      </c>
      <c r="T262" s="160" t="str">
        <f t="shared" si="140"/>
        <v>1+0.0041532790371424i</v>
      </c>
      <c r="U262" s="160">
        <f t="shared" si="149"/>
        <v>1.0000086248261864</v>
      </c>
      <c r="V262" s="160">
        <f t="shared" si="150"/>
        <v>4.1532551564133777E-3</v>
      </c>
      <c r="W262" s="98" t="str">
        <f t="shared" si="141"/>
        <v>1-0.0117676239385701i</v>
      </c>
      <c r="X262" s="160">
        <f t="shared" si="151"/>
        <v>1.0000692360897618</v>
      </c>
      <c r="Y262" s="160">
        <f t="shared" si="152"/>
        <v>-1.1767080802048429E-2</v>
      </c>
      <c r="Z262" s="98" t="str">
        <f t="shared" si="142"/>
        <v>0.996965689699883-0.0805707110500634i</v>
      </c>
      <c r="AA262" s="160">
        <f t="shared" si="153"/>
        <v>1.0002160896115779</v>
      </c>
      <c r="AB262" s="160">
        <f t="shared" si="154"/>
        <v>-8.0640675863027492E-2</v>
      </c>
      <c r="AC262" s="171" t="str">
        <f t="shared" si="155"/>
        <v>0.0031900887545015-0.0435721739566746i</v>
      </c>
      <c r="AD262" s="190">
        <f t="shared" si="156"/>
        <v>-27.192598214485784</v>
      </c>
      <c r="AE262" s="169">
        <f t="shared" si="157"/>
        <v>-85.812623735683715</v>
      </c>
      <c r="AF262" s="98" t="str">
        <f t="shared" si="143"/>
        <v>-0.0000119284294234592</v>
      </c>
      <c r="AG262" s="98" t="str">
        <f t="shared" si="144"/>
        <v>0.0000969479159244965i</v>
      </c>
      <c r="AH262" s="98">
        <f t="shared" si="158"/>
        <v>9.6947915924496504E-5</v>
      </c>
      <c r="AI262" s="98">
        <f t="shared" si="159"/>
        <v>1.5707963267948966</v>
      </c>
      <c r="AJ262" s="98" t="str">
        <f t="shared" si="145"/>
        <v>1+0.0837249019899234i</v>
      </c>
      <c r="AK262" s="98">
        <f t="shared" si="160"/>
        <v>1.0034988087751884</v>
      </c>
      <c r="AL262" s="98">
        <f t="shared" si="161"/>
        <v>8.3530087450807824E-2</v>
      </c>
      <c r="AM262" s="98" t="str">
        <f t="shared" si="146"/>
        <v>1+213.201657239977i</v>
      </c>
      <c r="AN262" s="98">
        <f t="shared" si="162"/>
        <v>213.20400242460892</v>
      </c>
      <c r="AO262" s="98">
        <f t="shared" si="163"/>
        <v>1.5661059661299108</v>
      </c>
      <c r="AP262" s="168" t="str">
        <f t="shared" si="164"/>
        <v>-26.0394051692929+2.30318621088592i</v>
      </c>
      <c r="AQ262" s="98">
        <f t="shared" si="165"/>
        <v>28.346465596499858</v>
      </c>
      <c r="AR262" s="169">
        <f t="shared" si="166"/>
        <v>174.94534065621215</v>
      </c>
      <c r="AS262" s="168" t="str">
        <f t="shared" si="167"/>
        <v>0.017286816630866+1.14194086019563i</v>
      </c>
      <c r="AT262" s="190">
        <f t="shared" si="168"/>
        <v>1.1538673820140564</v>
      </c>
      <c r="AU262" s="169">
        <f t="shared" si="169"/>
        <v>89.132716920528438</v>
      </c>
      <c r="AV262" s="225"/>
      <c r="AX262">
        <f t="shared" si="170"/>
        <v>0</v>
      </c>
      <c r="AY262">
        <f t="shared" si="171"/>
        <v>0</v>
      </c>
    </row>
    <row r="263" spans="14:51" x14ac:dyDescent="0.2">
      <c r="N263" s="170">
        <v>45</v>
      </c>
      <c r="O263" s="199">
        <f t="shared" si="172"/>
        <v>2818.3829312644561</v>
      </c>
      <c r="P263" s="189" t="str">
        <f t="shared" si="138"/>
        <v>771.276595744681</v>
      </c>
      <c r="Q263" s="160" t="str">
        <f t="shared" si="139"/>
        <v>1+18062.5906682011i</v>
      </c>
      <c r="R263" s="160">
        <f t="shared" si="147"/>
        <v>18062.59069588262</v>
      </c>
      <c r="S263" s="160">
        <f t="shared" si="148"/>
        <v>1.5707409637510594</v>
      </c>
      <c r="T263" s="160" t="str">
        <f t="shared" si="140"/>
        <v>1+0.00425002133369438i</v>
      </c>
      <c r="U263" s="160">
        <f t="shared" si="149"/>
        <v>1.0000090312998862</v>
      </c>
      <c r="V263" s="160">
        <f t="shared" si="150"/>
        <v>4.2499957450446903E-3</v>
      </c>
      <c r="W263" s="98" t="str">
        <f t="shared" si="141"/>
        <v>1-0.0120417271121341i</v>
      </c>
      <c r="X263" s="160">
        <f t="shared" si="151"/>
        <v>1.0000724989678713</v>
      </c>
      <c r="Y263" s="160">
        <f t="shared" si="152"/>
        <v>-1.204114513314436E-2</v>
      </c>
      <c r="Z263" s="98" t="str">
        <f t="shared" si="142"/>
        <v>0.996822687061103-0.0824474440006074i</v>
      </c>
      <c r="AA263" s="160">
        <f t="shared" si="153"/>
        <v>1.0002264995799455</v>
      </c>
      <c r="AB263" s="160">
        <f t="shared" si="154"/>
        <v>-8.2522404233993429E-2</v>
      </c>
      <c r="AC263" s="171" t="str">
        <f t="shared" si="155"/>
        <v>0.00318996665269679-0.0425746921311912i</v>
      </c>
      <c r="AD263" s="190">
        <f t="shared" si="156"/>
        <v>-27.392656744144425</v>
      </c>
      <c r="AE263" s="169">
        <f t="shared" si="157"/>
        <v>-85.715042430860819</v>
      </c>
      <c r="AF263" s="98" t="str">
        <f t="shared" si="143"/>
        <v>-0.0000119284294234592</v>
      </c>
      <c r="AG263" s="98" t="str">
        <f t="shared" si="144"/>
        <v>0.0000992061229817609i</v>
      </c>
      <c r="AH263" s="98">
        <f t="shared" si="158"/>
        <v>9.9206122981760895E-5</v>
      </c>
      <c r="AI263" s="98">
        <f t="shared" si="159"/>
        <v>1.5707963267948966</v>
      </c>
      <c r="AJ263" s="98" t="str">
        <f t="shared" si="145"/>
        <v>1+0.0856751054856815i</v>
      </c>
      <c r="AK263" s="98">
        <f t="shared" si="160"/>
        <v>1.0036634015943706</v>
      </c>
      <c r="AL263" s="98">
        <f t="shared" si="161"/>
        <v>8.5466399075266708E-2</v>
      </c>
      <c r="AM263" s="98" t="str">
        <f t="shared" si="146"/>
        <v>1+218.167761796312i</v>
      </c>
      <c r="AN263" s="98">
        <f t="shared" si="162"/>
        <v>218.17005359859158</v>
      </c>
      <c r="AO263" s="98">
        <f t="shared" si="163"/>
        <v>1.5662127302605711</v>
      </c>
      <c r="AP263" s="168" t="str">
        <f t="shared" si="164"/>
        <v>-26.0308653586888+2.35043597826362i</v>
      </c>
      <c r="AQ263" s="98">
        <f t="shared" si="165"/>
        <v>28.345036762745593</v>
      </c>
      <c r="AR263" s="169">
        <f t="shared" si="166"/>
        <v>174.84051530639874</v>
      </c>
      <c r="AS263" s="168" t="str">
        <f t="shared" si="167"/>
        <v>0.0170314957135915+1.11575389094463i</v>
      </c>
      <c r="AT263" s="190">
        <f t="shared" si="168"/>
        <v>0.95238001860120303</v>
      </c>
      <c r="AU263" s="169">
        <f t="shared" si="169"/>
        <v>89.125472875537938</v>
      </c>
      <c r="AV263" s="225"/>
      <c r="AX263">
        <f t="shared" si="170"/>
        <v>0</v>
      </c>
      <c r="AY263">
        <f t="shared" si="171"/>
        <v>0</v>
      </c>
    </row>
    <row r="264" spans="14:51" x14ac:dyDescent="0.2">
      <c r="N264" s="170">
        <v>46</v>
      </c>
      <c r="O264" s="199">
        <f t="shared" si="172"/>
        <v>2884.0315031266077</v>
      </c>
      <c r="P264" s="189" t="str">
        <f t="shared" si="138"/>
        <v>771.276595744681</v>
      </c>
      <c r="Q264" s="160" t="str">
        <f t="shared" si="139"/>
        <v>1+18483.322453206i</v>
      </c>
      <c r="R264" s="160">
        <f t="shared" si="147"/>
        <v>18483.322480257415</v>
      </c>
      <c r="S264" s="160">
        <f t="shared" si="148"/>
        <v>1.5707422239677908</v>
      </c>
      <c r="T264" s="160" t="str">
        <f t="shared" si="140"/>
        <v>1+0.00434901704781317i</v>
      </c>
      <c r="U264" s="160">
        <f t="shared" si="149"/>
        <v>1.0000094569299243</v>
      </c>
      <c r="V264" s="160">
        <f t="shared" si="150"/>
        <v>4.3489896290950375E-3</v>
      </c>
      <c r="W264" s="98" t="str">
        <f t="shared" si="141"/>
        <v>1-0.012322214968804i</v>
      </c>
      <c r="X264" s="160">
        <f t="shared" si="151"/>
        <v>1.0000759156092789</v>
      </c>
      <c r="Y264" s="160">
        <f t="shared" si="152"/>
        <v>-1.2321591369637869E-2</v>
      </c>
      <c r="Z264" s="98" t="str">
        <f t="shared" si="142"/>
        <v>0.996672944915589-0.0843678916772815i</v>
      </c>
      <c r="AA264" s="160">
        <f t="shared" si="153"/>
        <v>1.0002374219517995</v>
      </c>
      <c r="AB264" s="160">
        <f t="shared" si="154"/>
        <v>-8.4448203572153963E-2</v>
      </c>
      <c r="AC264" s="171" t="str">
        <f t="shared" si="155"/>
        <v>0.00318984892228292-0.0415997823650085i</v>
      </c>
      <c r="AD264" s="190">
        <f t="shared" si="156"/>
        <v>-27.592718220751248</v>
      </c>
      <c r="AE264" s="169">
        <f t="shared" si="157"/>
        <v>-85.615170915672863</v>
      </c>
      <c r="AF264" s="98" t="str">
        <f t="shared" si="143"/>
        <v>-0.0000119284294234592</v>
      </c>
      <c r="AG264" s="98" t="str">
        <f t="shared" si="144"/>
        <v>0.000101516930438579i</v>
      </c>
      <c r="AH264" s="98">
        <f t="shared" si="158"/>
        <v>1.01516930438579E-4</v>
      </c>
      <c r="AI264" s="98">
        <f t="shared" si="159"/>
        <v>1.5707963267948966</v>
      </c>
      <c r="AJ264" s="98" t="str">
        <f t="shared" si="145"/>
        <v>1+0.0876707350564123i</v>
      </c>
      <c r="AK264" s="98">
        <f t="shared" si="160"/>
        <v>1.0038357225090824</v>
      </c>
      <c r="AL264" s="98">
        <f t="shared" si="161"/>
        <v>8.7447148234094441E-2</v>
      </c>
      <c r="AM264" s="98" t="str">
        <f t="shared" si="146"/>
        <v>1+223.249541787743i</v>
      </c>
      <c r="AN264" s="98">
        <f t="shared" si="162"/>
        <v>223.25178142276312</v>
      </c>
      <c r="AO264" s="98">
        <f t="shared" si="163"/>
        <v>1.5663170642438864</v>
      </c>
      <c r="AP264" s="168" t="str">
        <f t="shared" si="164"/>
        <v>-26.0219290807324+2.39886352265741i</v>
      </c>
      <c r="AQ264" s="98">
        <f t="shared" si="165"/>
        <v>28.343541486964678</v>
      </c>
      <c r="AR264" s="169">
        <f t="shared" si="166"/>
        <v>174.73300463622761</v>
      </c>
      <c r="AS264" s="168" t="str">
        <f t="shared" si="167"/>
        <v>0.0167861780320091+1.09015859869861i</v>
      </c>
      <c r="AT264" s="190">
        <f t="shared" si="168"/>
        <v>0.75082326621346462</v>
      </c>
      <c r="AU264" s="169">
        <f t="shared" si="169"/>
        <v>89.117833720554756</v>
      </c>
      <c r="AV264" s="225"/>
      <c r="AX264">
        <f t="shared" si="170"/>
        <v>0</v>
      </c>
      <c r="AY264">
        <f t="shared" si="171"/>
        <v>0</v>
      </c>
    </row>
    <row r="265" spans="14:51" x14ac:dyDescent="0.2">
      <c r="N265" s="170">
        <v>47</v>
      </c>
      <c r="O265" s="199">
        <f t="shared" si="172"/>
        <v>2951.2092266663876</v>
      </c>
      <c r="P265" s="189" t="str">
        <f t="shared" si="138"/>
        <v>771.276595744681</v>
      </c>
      <c r="Q265" s="160" t="str">
        <f t="shared" si="139"/>
        <v>1+18913.8543404312i</v>
      </c>
      <c r="R265" s="160">
        <f t="shared" si="147"/>
        <v>18913.854366866846</v>
      </c>
      <c r="S265" s="160">
        <f t="shared" si="148"/>
        <v>1.5707434554984876</v>
      </c>
      <c r="T265" s="160" t="str">
        <f t="shared" si="140"/>
        <v>1+0.00445031866833674i</v>
      </c>
      <c r="U265" s="160">
        <f t="shared" si="149"/>
        <v>1.0000099026190938</v>
      </c>
      <c r="V265" s="160">
        <f t="shared" si="150"/>
        <v>4.4502892886666492E-3</v>
      </c>
      <c r="W265" s="98" t="str">
        <f t="shared" si="141"/>
        <v>1-0.0126092362269541i</v>
      </c>
      <c r="X265" s="160">
        <f t="shared" si="151"/>
        <v>1.0000794932595243</v>
      </c>
      <c r="Y265" s="160">
        <f t="shared" si="152"/>
        <v>-1.2608568031277405E-2</v>
      </c>
      <c r="Z265" s="98" t="str">
        <f t="shared" si="142"/>
        <v>0.996516145640176-0.0863330723268638i</v>
      </c>
      <c r="AA265" s="160">
        <f t="shared" si="153"/>
        <v>1.0002488829781058</v>
      </c>
      <c r="AB265" s="160">
        <f t="shared" si="154"/>
        <v>-8.6419117476760718E-2</v>
      </c>
      <c r="AC265" s="171" t="str">
        <f t="shared" si="155"/>
        <v>0.00318973529385645-0.0406469276342099i</v>
      </c>
      <c r="AD265" s="190">
        <f t="shared" si="156"/>
        <v>-27.792782801358786</v>
      </c>
      <c r="AE265" s="169">
        <f t="shared" si="157"/>
        <v>-85.512954937237652</v>
      </c>
      <c r="AF265" s="98" t="str">
        <f t="shared" si="143"/>
        <v>-0.0000119284294234592</v>
      </c>
      <c r="AG265" s="98" t="str">
        <f t="shared" si="144"/>
        <v>0.00010388156351565i</v>
      </c>
      <c r="AH265" s="98">
        <f t="shared" si="158"/>
        <v>1.0388156351565E-4</v>
      </c>
      <c r="AI265" s="98">
        <f t="shared" si="159"/>
        <v>1.5707963267948966</v>
      </c>
      <c r="AJ265" s="98" t="str">
        <f t="shared" si="145"/>
        <v>1+0.0897128488113293i</v>
      </c>
      <c r="AK265" s="98">
        <f t="shared" si="160"/>
        <v>1.0040161329589503</v>
      </c>
      <c r="AL265" s="98">
        <f t="shared" si="161"/>
        <v>8.9473322942566449E-2</v>
      </c>
      <c r="AM265" s="98" t="str">
        <f t="shared" si="146"/>
        <v>1+228.449691641286i</v>
      </c>
      <c r="AN265" s="98">
        <f t="shared" si="162"/>
        <v>228.45188029648313</v>
      </c>
      <c r="AO265" s="98">
        <f t="shared" si="163"/>
        <v>1.5664190233900241</v>
      </c>
      <c r="AP265" s="168" t="str">
        <f t="shared" si="164"/>
        <v>-26.0125782227298+2.44848970068996i</v>
      </c>
      <c r="AQ265" s="98">
        <f t="shared" si="165"/>
        <v>28.341976667934226</v>
      </c>
      <c r="AR265" s="169">
        <f t="shared" si="166"/>
        <v>174.62275520563247</v>
      </c>
      <c r="AS265" s="168" t="str">
        <f t="shared" si="167"/>
        <v>0.0165503448358101+1.06514141861346i</v>
      </c>
      <c r="AT265" s="190">
        <f t="shared" si="168"/>
        <v>0.54919386657546709</v>
      </c>
      <c r="AU265" s="169">
        <f t="shared" si="169"/>
        <v>89.109800268394821</v>
      </c>
      <c r="AV265" s="225"/>
      <c r="AX265">
        <f t="shared" si="170"/>
        <v>0</v>
      </c>
      <c r="AY265">
        <f t="shared" si="171"/>
        <v>0</v>
      </c>
    </row>
    <row r="266" spans="14:51" x14ac:dyDescent="0.2">
      <c r="N266" s="170">
        <v>48</v>
      </c>
      <c r="O266" s="199">
        <f t="shared" si="172"/>
        <v>3019.9517204020176</v>
      </c>
      <c r="P266" s="189" t="str">
        <f t="shared" si="138"/>
        <v>771.276595744681</v>
      </c>
      <c r="Q266" s="160" t="str">
        <f t="shared" si="139"/>
        <v>1+19354.4146035821i</v>
      </c>
      <c r="R266" s="160">
        <f t="shared" si="147"/>
        <v>19354.414629415998</v>
      </c>
      <c r="S266" s="160">
        <f t="shared" si="148"/>
        <v>1.5707446589961234</v>
      </c>
      <c r="T266" s="160" t="str">
        <f t="shared" si="140"/>
        <v>1+0.00455397990672521i</v>
      </c>
      <c r="U266" s="160">
        <f t="shared" si="149"/>
        <v>1.0000103693127342</v>
      </c>
      <c r="V266" s="160">
        <f t="shared" si="150"/>
        <v>4.5539484258591565E-3</v>
      </c>
      <c r="W266" s="98" t="str">
        <f t="shared" si="141"/>
        <v>1-0.0129029430690547i</v>
      </c>
      <c r="X266" s="160">
        <f t="shared" si="151"/>
        <v>1.0000832395055141</v>
      </c>
      <c r="Y266" s="160">
        <f t="shared" si="152"/>
        <v>-1.290222708770597E-2</v>
      </c>
      <c r="Z266" s="98" t="str">
        <f t="shared" si="142"/>
        <v>0.996351956642576-0.0883440279141473i</v>
      </c>
      <c r="AA266" s="160">
        <f t="shared" si="153"/>
        <v>1.0002609103496873</v>
      </c>
      <c r="AB266" s="160">
        <f t="shared" si="154"/>
        <v>-8.8436215062904444E-2</v>
      </c>
      <c r="AC266" s="171" t="str">
        <f t="shared" si="155"/>
        <v>0.00318962550481813-0.0397156226007154i</v>
      </c>
      <c r="AD266" s="190">
        <f t="shared" si="156"/>
        <v>-27.9928506521725</v>
      </c>
      <c r="AE266" s="169">
        <f t="shared" si="157"/>
        <v>-85.40833890750082</v>
      </c>
      <c r="AF266" s="98" t="str">
        <f t="shared" si="143"/>
        <v>-0.0000119284294234592</v>
      </c>
      <c r="AG266" s="98" t="str">
        <f t="shared" si="144"/>
        <v>0.000106301275972733i</v>
      </c>
      <c r="AH266" s="98">
        <f t="shared" si="158"/>
        <v>1.06301275972733E-4</v>
      </c>
      <c r="AI266" s="98">
        <f t="shared" si="159"/>
        <v>1.5707963267948966</v>
      </c>
      <c r="AJ266" s="98" t="str">
        <f t="shared" si="145"/>
        <v>1+0.0918025295061761i</v>
      </c>
      <c r="AK266" s="98">
        <f t="shared" si="160"/>
        <v>1.0042050111524701</v>
      </c>
      <c r="AL266" s="98">
        <f t="shared" si="161"/>
        <v>9.1545930922668425E-2</v>
      </c>
      <c r="AM266" s="98" t="str">
        <f t="shared" si="146"/>
        <v>1+233.770968545227i</v>
      </c>
      <c r="AN266" s="98">
        <f t="shared" si="162"/>
        <v>233.77310738101056</v>
      </c>
      <c r="AO266" s="98">
        <f t="shared" si="163"/>
        <v>1.5665186617505891</v>
      </c>
      <c r="AP266" s="168" t="str">
        <f t="shared" si="164"/>
        <v>-26.0027938725764+2.49933566887224i</v>
      </c>
      <c r="AQ266" s="98">
        <f t="shared" si="165"/>
        <v>28.340339063645708</v>
      </c>
      <c r="AR266" s="169">
        <f t="shared" si="166"/>
        <v>174.50971237332547</v>
      </c>
      <c r="AS266" s="168" t="str">
        <f t="shared" si="167"/>
        <v>0.0163234976449382+1.04068909280198i</v>
      </c>
      <c r="AT266" s="190">
        <f t="shared" si="168"/>
        <v>0.34748841147324061</v>
      </c>
      <c r="AU266" s="169">
        <f t="shared" si="169"/>
        <v>89.101373465824665</v>
      </c>
      <c r="AV266" s="225"/>
      <c r="AX266">
        <f t="shared" si="170"/>
        <v>0</v>
      </c>
      <c r="AY266">
        <f t="shared" si="171"/>
        <v>0</v>
      </c>
    </row>
    <row r="267" spans="14:51" x14ac:dyDescent="0.2">
      <c r="N267" s="170">
        <v>49</v>
      </c>
      <c r="O267" s="199">
        <f t="shared" si="172"/>
        <v>3090.295432513592</v>
      </c>
      <c r="P267" s="189" t="str">
        <f t="shared" si="138"/>
        <v>771.276595744681</v>
      </c>
      <c r="Q267" s="160" t="str">
        <f t="shared" si="139"/>
        <v>1+19805.2368335419i</v>
      </c>
      <c r="R267" s="160">
        <f t="shared" si="147"/>
        <v>19805.23685878775</v>
      </c>
      <c r="S267" s="160">
        <f t="shared" si="148"/>
        <v>1.5707458350988086</v>
      </c>
      <c r="T267" s="160" t="str">
        <f t="shared" si="140"/>
        <v>1+0.00466005572553926i</v>
      </c>
      <c r="U267" s="160">
        <f t="shared" si="149"/>
        <v>1.0000108580007345</v>
      </c>
      <c r="V267" s="160">
        <f t="shared" si="150"/>
        <v>4.6600219932033194E-3</v>
      </c>
      <c r="W267" s="98" t="str">
        <f t="shared" si="141"/>
        <v>1-0.0132034912223612i</v>
      </c>
      <c r="X267" s="160">
        <f t="shared" si="151"/>
        <v>1.000087162291597</v>
      </c>
      <c r="Y267" s="160">
        <f t="shared" si="152"/>
        <v>-1.3202724038135053E-2</v>
      </c>
      <c r="Z267" s="98" t="str">
        <f t="shared" si="142"/>
        <v>0.996180029655914-0.0904018246744022i</v>
      </c>
      <c r="AA267" s="160">
        <f t="shared" si="153"/>
        <v>1.0002735332846306</v>
      </c>
      <c r="AB267" s="160">
        <f t="shared" si="154"/>
        <v>-9.0500591640674199E-2</v>
      </c>
      <c r="AC267" s="171" t="str">
        <f t="shared" si="155"/>
        <v>0.00318951929863338-0.0388053733437852i</v>
      </c>
      <c r="AD267" s="190">
        <f t="shared" si="156"/>
        <v>-28.192921949150602</v>
      </c>
      <c r="AE267" s="169">
        <f t="shared" si="157"/>
        <v>-85.301265867278502</v>
      </c>
      <c r="AF267" s="98" t="str">
        <f t="shared" si="143"/>
        <v>-0.0000119284294234592</v>
      </c>
      <c r="AG267" s="98" t="str">
        <f t="shared" si="144"/>
        <v>0.0001087773507734i</v>
      </c>
      <c r="AH267" s="98">
        <f t="shared" si="158"/>
        <v>1.087773507734E-4</v>
      </c>
      <c r="AI267" s="98">
        <f t="shared" si="159"/>
        <v>1.5707963267948966</v>
      </c>
      <c r="AJ267" s="98" t="str">
        <f t="shared" si="145"/>
        <v>1+0.093940885117317i</v>
      </c>
      <c r="AK267" s="98">
        <f t="shared" si="160"/>
        <v>1.0044027528320625</v>
      </c>
      <c r="AL267" s="98">
        <f t="shared" si="161"/>
        <v>9.3665999832716312E-2</v>
      </c>
      <c r="AM267" s="98" t="str">
        <f t="shared" si="146"/>
        <v>1+239.216193911015i</v>
      </c>
      <c r="AN267" s="98">
        <f t="shared" si="162"/>
        <v>239.2182840613826</v>
      </c>
      <c r="AO267" s="98">
        <f t="shared" si="163"/>
        <v>1.5666160321472411</v>
      </c>
      <c r="AP267" s="168" t="str">
        <f t="shared" si="164"/>
        <v>-25.9925562861684+2.55142287190619i</v>
      </c>
      <c r="AQ267" s="98">
        <f t="shared" si="165"/>
        <v>28.338625285066769</v>
      </c>
      <c r="AR267" s="169">
        <f t="shared" si="166"/>
        <v>174.39382028528047</v>
      </c>
      <c r="AS267" s="168" t="str">
        <f t="shared" si="167"/>
        <v>0.0161051572066438+1.01678866333303i</v>
      </c>
      <c r="AT267" s="190">
        <f t="shared" si="168"/>
        <v>0.14570333591612716</v>
      </c>
      <c r="AU267" s="169">
        <f t="shared" si="169"/>
        <v>89.092554418001967</v>
      </c>
      <c r="AV267" s="225"/>
      <c r="AX267">
        <f t="shared" si="170"/>
        <v>3090.295432513592</v>
      </c>
      <c r="AY267">
        <f t="shared" si="171"/>
        <v>89.092554418001967</v>
      </c>
    </row>
    <row r="268" spans="14:51" x14ac:dyDescent="0.2">
      <c r="N268" s="170">
        <v>50</v>
      </c>
      <c r="O268" s="199">
        <f t="shared" si="172"/>
        <v>3162.2776601683804</v>
      </c>
      <c r="P268" s="189" t="str">
        <f t="shared" si="138"/>
        <v>771.276595744681</v>
      </c>
      <c r="Q268" s="160" t="str">
        <f t="shared" si="139"/>
        <v>1+20266.560062224i</v>
      </c>
      <c r="R268" s="160">
        <f t="shared" si="147"/>
        <v>20266.560086895184</v>
      </c>
      <c r="S268" s="160">
        <f t="shared" si="148"/>
        <v>1.5707469844301283</v>
      </c>
      <c r="T268" s="160" t="str">
        <f t="shared" si="140"/>
        <v>1+0.00476860236758212i</v>
      </c>
      <c r="U268" s="160">
        <f t="shared" si="149"/>
        <v>1.0000113697196349</v>
      </c>
      <c r="V268" s="160">
        <f t="shared" si="150"/>
        <v>4.7685662227551434E-3</v>
      </c>
      <c r="W268" s="98" t="str">
        <f t="shared" si="141"/>
        <v>1-0.0135110400414827i</v>
      </c>
      <c r="X268" s="160">
        <f t="shared" si="151"/>
        <v>1.0000912699364006</v>
      </c>
      <c r="Y268" s="160">
        <f t="shared" si="152"/>
        <v>-1.3510217992825502E-2</v>
      </c>
      <c r="Z268" s="98" t="str">
        <f t="shared" si="142"/>
        <v>0.996-0.092507553678709i</v>
      </c>
      <c r="AA268" s="160">
        <f t="shared" si="153"/>
        <v>1.0002867826216737</v>
      </c>
      <c r="AB268" s="160">
        <f t="shared" si="154"/>
        <v>-9.2613369416019276E-2</v>
      </c>
      <c r="AC268" s="171" t="str">
        <f t="shared" si="155"/>
        <v>0.00318941642408806-0.0379156970975387i</v>
      </c>
      <c r="AD268" s="190">
        <f t="shared" si="156"/>
        <v>-28.392996878648262</v>
      </c>
      <c r="AE268" s="169">
        <f t="shared" si="157"/>
        <v>-85.191677449121798</v>
      </c>
      <c r="AF268" s="98" t="str">
        <f t="shared" si="143"/>
        <v>-0.0000119284294234592</v>
      </c>
      <c r="AG268" s="98" t="str">
        <f t="shared" si="144"/>
        <v>0.000111311100765286i</v>
      </c>
      <c r="AH268" s="98">
        <f t="shared" si="158"/>
        <v>1.11311100765286E-4</v>
      </c>
      <c r="AI268" s="98">
        <f t="shared" si="159"/>
        <v>1.5707963267948966</v>
      </c>
      <c r="AJ268" s="98" t="str">
        <f t="shared" si="145"/>
        <v>1+0.0961290494292018i</v>
      </c>
      <c r="AK268" s="98">
        <f t="shared" si="160"/>
        <v>1.0046097720727993</v>
      </c>
      <c r="AL268" s="98">
        <f t="shared" si="161"/>
        <v>9.5834577486770656E-2</v>
      </c>
      <c r="AM268" s="98" t="str">
        <f t="shared" si="146"/>
        <v>1+244.788254869216i</v>
      </c>
      <c r="AN268" s="98">
        <f t="shared" si="162"/>
        <v>244.79029744235422</v>
      </c>
      <c r="AO268" s="98">
        <f t="shared" si="163"/>
        <v>1.5667111861996632</v>
      </c>
      <c r="AP268" s="168" t="str">
        <f t="shared" si="164"/>
        <v>-25.9818448537466+2.60477302963043i</v>
      </c>
      <c r="AQ268" s="98">
        <f t="shared" si="165"/>
        <v>28.336831789650763</v>
      </c>
      <c r="AR268" s="169">
        <f t="shared" si="166"/>
        <v>174.27502186376415</v>
      </c>
      <c r="AS268" s="168" t="str">
        <f t="shared" si="167"/>
        <v>0.0158948624946583+0.993427465391626i</v>
      </c>
      <c r="AT268" s="190">
        <f t="shared" si="168"/>
        <v>-5.616508899749114E-2</v>
      </c>
      <c r="AU268" s="169">
        <f t="shared" si="169"/>
        <v>89.083344414642369</v>
      </c>
      <c r="AV268" s="225"/>
      <c r="AX268">
        <f t="shared" si="170"/>
        <v>0</v>
      </c>
      <c r="AY268">
        <f t="shared" si="171"/>
        <v>0</v>
      </c>
    </row>
    <row r="269" spans="14:51" x14ac:dyDescent="0.2">
      <c r="N269" s="170">
        <v>51</v>
      </c>
      <c r="O269" s="199">
        <f t="shared" si="172"/>
        <v>3235.9365692962833</v>
      </c>
      <c r="P269" s="189" t="str">
        <f t="shared" si="138"/>
        <v>771.276595744681</v>
      </c>
      <c r="Q269" s="160" t="str">
        <f t="shared" si="139"/>
        <v>1+20738.6288893109i</v>
      </c>
      <c r="R269" s="160">
        <f t="shared" si="147"/>
        <v>20738.6289134205</v>
      </c>
      <c r="S269" s="160">
        <f t="shared" si="148"/>
        <v>1.5707481075994734</v>
      </c>
      <c r="T269" s="160" t="str">
        <f t="shared" si="140"/>
        <v>1+0.0048796773857202i</v>
      </c>
      <c r="U269" s="160">
        <f t="shared" si="149"/>
        <v>1.0000119055548231</v>
      </c>
      <c r="V269" s="160">
        <f t="shared" si="150"/>
        <v>4.8796386558652132E-3</v>
      </c>
      <c r="W269" s="98" t="str">
        <f t="shared" si="141"/>
        <v>1-0.0138257525928739i</v>
      </c>
      <c r="X269" s="160">
        <f t="shared" si="151"/>
        <v>1.0000955711504573</v>
      </c>
      <c r="Y269" s="160">
        <f t="shared" si="152"/>
        <v>-1.3824871756414E-2</v>
      </c>
      <c r="Z269" s="98" t="str">
        <f t="shared" si="142"/>
        <v>0.995811485807796-0.0946623314124585i</v>
      </c>
      <c r="AA269" s="160">
        <f t="shared" si="153"/>
        <v>1.0003006909200713</v>
      </c>
      <c r="AB269" s="160">
        <f t="shared" si="154"/>
        <v>-9.4775698214211002E-2</v>
      </c>
      <c r="AC269" s="171" t="str">
        <f t="shared" si="155"/>
        <v>0.00318931663453596-0.0370461219943439i</v>
      </c>
      <c r="AD269" s="190">
        <f t="shared" si="156"/>
        <v>-28.593075638110747</v>
      </c>
      <c r="AE269" s="169">
        <f t="shared" si="157"/>
        <v>-85.079513838953048</v>
      </c>
      <c r="AF269" s="98" t="str">
        <f t="shared" si="143"/>
        <v>-0.0000119284294234592</v>
      </c>
      <c r="AG269" s="98" t="str">
        <f t="shared" si="144"/>
        <v>0.000113903869376174i</v>
      </c>
      <c r="AH269" s="98">
        <f t="shared" si="158"/>
        <v>1.1390386937617399E-4</v>
      </c>
      <c r="AI269" s="98">
        <f t="shared" si="159"/>
        <v>1.5707963267948966</v>
      </c>
      <c r="AJ269" s="98" t="str">
        <f t="shared" si="145"/>
        <v>1+0.0983681826355123i</v>
      </c>
      <c r="AK269" s="98">
        <f t="shared" si="160"/>
        <v>1.004826502116168</v>
      </c>
      <c r="AL269" s="98">
        <f t="shared" si="161"/>
        <v>9.8052732062591977E-2</v>
      </c>
      <c r="AM269" s="98" t="str">
        <f t="shared" si="146"/>
        <v>1+250.490105800303i</v>
      </c>
      <c r="AN269" s="98">
        <f t="shared" si="162"/>
        <v>250.49210187917501</v>
      </c>
      <c r="AO269" s="98">
        <f t="shared" si="163"/>
        <v>1.5668041743528973</v>
      </c>
      <c r="AP269" s="168" t="str">
        <f t="shared" si="164"/>
        <v>-25.9706380651663+2.65940812250999i</v>
      </c>
      <c r="AQ269" s="98">
        <f t="shared" si="165"/>
        <v>28.334954874586359</v>
      </c>
      <c r="AR269" s="169">
        <f t="shared" si="166"/>
        <v>174.15325879698702</v>
      </c>
      <c r="AS269" s="168" t="str">
        <f t="shared" si="167"/>
        <v>0.0156921697485065+0.970593120596243i</v>
      </c>
      <c r="AT269" s="190">
        <f t="shared" si="168"/>
        <v>-0.25812076352439017</v>
      </c>
      <c r="AU269" s="169">
        <f t="shared" si="169"/>
        <v>89.07374495803397</v>
      </c>
      <c r="AV269" s="225"/>
      <c r="AX269">
        <f t="shared" si="170"/>
        <v>0</v>
      </c>
      <c r="AY269">
        <f t="shared" si="171"/>
        <v>0</v>
      </c>
    </row>
    <row r="270" spans="14:51" x14ac:dyDescent="0.2">
      <c r="N270" s="170">
        <v>52</v>
      </c>
      <c r="O270" s="199">
        <f t="shared" si="172"/>
        <v>3311.3112148259115</v>
      </c>
      <c r="P270" s="189" t="str">
        <f t="shared" si="138"/>
        <v>771.276595744681</v>
      </c>
      <c r="Q270" s="160" t="str">
        <f t="shared" si="139"/>
        <v>1+21221.6936119431i</v>
      </c>
      <c r="R270" s="160">
        <f t="shared" si="147"/>
        <v>21221.693635503896</v>
      </c>
      <c r="S270" s="160">
        <f t="shared" si="148"/>
        <v>1.5707492052023628</v>
      </c>
      <c r="T270" s="160" t="str">
        <f t="shared" si="140"/>
        <v>1+0.00499333967339836i</v>
      </c>
      <c r="U270" s="160">
        <f t="shared" si="149"/>
        <v>1.0000124666428385</v>
      </c>
      <c r="V270" s="160">
        <f t="shared" si="150"/>
        <v>4.993298173638994E-3</v>
      </c>
      <c r="W270" s="98" t="str">
        <f t="shared" si="141"/>
        <v>1-0.0141477957412954i</v>
      </c>
      <c r="X270" s="160">
        <f t="shared" si="151"/>
        <v>1.0001000750546605</v>
      </c>
      <c r="Y270" s="160">
        <f t="shared" si="152"/>
        <v>-1.4146851913124639E-2</v>
      </c>
      <c r="Z270" s="98" t="str">
        <f t="shared" si="142"/>
        <v>0.995614087215427-0.0968673003673274i</v>
      </c>
      <c r="AA270" s="160">
        <f t="shared" si="153"/>
        <v>1.0003152925664296</v>
      </c>
      <c r="AB270" s="160">
        <f t="shared" si="154"/>
        <v>-9.6988756226856931E-2</v>
      </c>
      <c r="AC270" s="171" t="str">
        <f>(IMDIV(IMPRODUCT(P270,T270,W270),IMPRODUCT(Q270,Z270)))</f>
        <v>0.00318921968713542-0.0361961868139467i</v>
      </c>
      <c r="AD270" s="190">
        <f t="shared" si="156"/>
        <v>-28.793158436817489</v>
      </c>
      <c r="AE270" s="169">
        <f t="shared" si="157"/>
        <v>-84.964713736420521</v>
      </c>
      <c r="AF270" s="98" t="str">
        <f t="shared" si="143"/>
        <v>-0.0000119284294234592</v>
      </c>
      <c r="AG270" s="98" t="str">
        <f t="shared" si="144"/>
        <v>0.000116557031326301i</v>
      </c>
      <c r="AH270" s="98">
        <f t="shared" si="158"/>
        <v>1.16557031326301E-4</v>
      </c>
      <c r="AI270" s="98">
        <f t="shared" si="159"/>
        <v>1.5707963267948966</v>
      </c>
      <c r="AJ270" s="98" t="str">
        <f t="shared" si="145"/>
        <v>1+0.100659471954313i</v>
      </c>
      <c r="AK270" s="98">
        <f t="shared" si="160"/>
        <v>1.0050533962402799</v>
      </c>
      <c r="AL270" s="98">
        <f t="shared" si="161"/>
        <v>0.1003215522968014</v>
      </c>
      <c r="AM270" s="98" t="str">
        <f t="shared" si="146"/>
        <v>1+256.324769901116i</v>
      </c>
      <c r="AN270" s="98">
        <f t="shared" si="162"/>
        <v>256.32672054403548</v>
      </c>
      <c r="AO270" s="98">
        <f t="shared" si="163"/>
        <v>1.5668950459040574</v>
      </c>
      <c r="AP270" s="168" t="str">
        <f t="shared" si="164"/>
        <v>-25.9589134740887+2.71535037556417i</v>
      </c>
      <c r="AQ270" s="98">
        <f t="shared" si="165"/>
        <v>28.332990669779001</v>
      </c>
      <c r="AR270" s="169">
        <f t="shared" si="166"/>
        <v>174.02847152945222</v>
      </c>
      <c r="AS270" s="168" t="str">
        <f t="shared" si="167"/>
        <v>0.0154966515510324+0.948273530470413i</v>
      </c>
      <c r="AT270" s="190">
        <f t="shared" si="168"/>
        <v>-0.46016776703848739</v>
      </c>
      <c r="AU270" s="169">
        <f t="shared" si="169"/>
        <v>89.063757793031684</v>
      </c>
      <c r="AV270" s="225"/>
      <c r="AX270">
        <f t="shared" si="170"/>
        <v>0</v>
      </c>
      <c r="AY270">
        <f t="shared" si="171"/>
        <v>0</v>
      </c>
    </row>
    <row r="271" spans="14:51" x14ac:dyDescent="0.2">
      <c r="N271" s="170">
        <v>53</v>
      </c>
      <c r="O271" s="199">
        <f t="shared" si="172"/>
        <v>3388.4415613920314</v>
      </c>
      <c r="P271" s="189" t="str">
        <f t="shared" si="138"/>
        <v>771.276595744681</v>
      </c>
      <c r="Q271" s="160" t="str">
        <f t="shared" si="139"/>
        <v>1+21716.0103574306i</v>
      </c>
      <c r="R271" s="160">
        <f t="shared" si="147"/>
        <v>21716.010380455085</v>
      </c>
      <c r="S271" s="160">
        <f t="shared" si="148"/>
        <v>1.5707502778207603</v>
      </c>
      <c r="T271" s="160" t="str">
        <f t="shared" si="140"/>
        <v>1+0.00510964949586602i</v>
      </c>
      <c r="U271" s="160">
        <f t="shared" si="149"/>
        <v>1.0000130541737797</v>
      </c>
      <c r="V271" s="160">
        <f t="shared" si="150"/>
        <v>5.1096050281040483E-3</v>
      </c>
      <c r="W271" s="98" t="str">
        <f t="shared" si="141"/>
        <v>1-0.014477340238287i</v>
      </c>
      <c r="X271" s="160">
        <f t="shared" si="151"/>
        <v>1.0001047911995897</v>
      </c>
      <c r="Y271" s="160">
        <f t="shared" si="152"/>
        <v>-1.4476328913904296E-2</v>
      </c>
      <c r="Z271" s="98" t="str">
        <f t="shared" si="142"/>
        <v>0.995407385514012-0.0991236296470412i</v>
      </c>
      <c r="AA271" s="160">
        <f t="shared" si="153"/>
        <v>1.0003306238890441</v>
      </c>
      <c r="AB271" s="160">
        <f t="shared" si="154"/>
        <v>-9.9253750783464559E-2</v>
      </c>
      <c r="AC271" s="171" t="str">
        <f t="shared" si="155"/>
        <v>0.00318912534207019-0.0353654407381932i</v>
      </c>
      <c r="AD271" s="190">
        <f t="shared" si="156"/>
        <v>-28.993245496683965</v>
      </c>
      <c r="AE271" s="169">
        <f t="shared" si="157"/>
        <v>-84.847214313915998</v>
      </c>
      <c r="AF271" s="98" t="str">
        <f t="shared" si="143"/>
        <v>-0.0000119284294234592</v>
      </c>
      <c r="AG271" s="98" t="str">
        <f t="shared" si="144"/>
        <v>0.000119271993357252i</v>
      </c>
      <c r="AH271" s="98">
        <f t="shared" si="158"/>
        <v>1.19271993357252E-4</v>
      </c>
      <c r="AI271" s="98">
        <f t="shared" si="159"/>
        <v>1.5707963267948966</v>
      </c>
      <c r="AJ271" s="98" t="str">
        <f t="shared" si="145"/>
        <v>1+0.10300413225753i</v>
      </c>
      <c r="AK271" s="98">
        <f t="shared" si="160"/>
        <v>1.0052909286679785</v>
      </c>
      <c r="AL271" s="98">
        <f t="shared" si="161"/>
        <v>0.1026421476658109</v>
      </c>
      <c r="AM271" s="98" t="str">
        <f t="shared" si="146"/>
        <v>1+262.295340787789i</v>
      </c>
      <c r="AN271" s="98">
        <f t="shared" si="162"/>
        <v>262.29724702898113</v>
      </c>
      <c r="AO271" s="98">
        <f t="shared" si="163"/>
        <v>1.5669838490284358</v>
      </c>
      <c r="AP271" s="168" t="str">
        <f t="shared" si="164"/>
        <v>-25.9466476610908+2.77262224062155i</v>
      </c>
      <c r="AQ271" s="98">
        <f t="shared" si="165"/>
        <v>28.330935130555336</v>
      </c>
      <c r="AR271" s="169">
        <f t="shared" si="166"/>
        <v>173.90059925308483</v>
      </c>
      <c r="AS271" s="168" t="str">
        <f t="shared" si="167"/>
        <v>0.015307895942347+0.92645687006464i</v>
      </c>
      <c r="AT271" s="190">
        <f t="shared" si="168"/>
        <v>-0.66231036612862382</v>
      </c>
      <c r="AU271" s="169">
        <f t="shared" si="169"/>
        <v>89.053384939168808</v>
      </c>
      <c r="AV271" s="225"/>
      <c r="AX271">
        <f t="shared" si="170"/>
        <v>0</v>
      </c>
      <c r="AY271">
        <f t="shared" si="171"/>
        <v>0</v>
      </c>
    </row>
    <row r="272" spans="14:51" x14ac:dyDescent="0.2">
      <c r="N272" s="170">
        <v>54</v>
      </c>
      <c r="O272" s="199">
        <f t="shared" si="172"/>
        <v>3467.3685045253224</v>
      </c>
      <c r="P272" s="189" t="str">
        <f t="shared" si="138"/>
        <v>771.276595744681</v>
      </c>
      <c r="Q272" s="160" t="str">
        <f t="shared" si="139"/>
        <v>1+22221.841219055i</v>
      </c>
      <c r="R272" s="160">
        <f t="shared" si="147"/>
        <v>22221.841241555387</v>
      </c>
      <c r="S272" s="160">
        <f t="shared" si="148"/>
        <v>1.5707513260233823</v>
      </c>
      <c r="T272" s="160" t="str">
        <f t="shared" si="140"/>
        <v>1+0.00522866852213059i</v>
      </c>
      <c r="U272" s="160">
        <f t="shared" si="149"/>
        <v>1.0000136693938309</v>
      </c>
      <c r="V272" s="160">
        <f t="shared" si="150"/>
        <v>5.2286208741003535E-3</v>
      </c>
      <c r="W272" s="98" t="str">
        <f t="shared" si="141"/>
        <v>1-0.0148145608127033i</v>
      </c>
      <c r="X272" s="160">
        <f t="shared" si="151"/>
        <v>1.0001097295857457</v>
      </c>
      <c r="Y272" s="160">
        <f t="shared" si="152"/>
        <v>-1.4813477165524704E-2</v>
      </c>
      <c r="Z272" s="98" t="str">
        <f t="shared" si="142"/>
        <v>0.99519094226153-0.10143251558725i</v>
      </c>
      <c r="AA272" s="160">
        <f t="shared" si="153"/>
        <v>1.0003467232803582</v>
      </c>
      <c r="AB272" s="160">
        <f t="shared" si="154"/>
        <v>-0.10157191914860821</v>
      </c>
      <c r="AC272" s="171" t="str">
        <f t="shared" si="155"/>
        <v>0.00318903336175198-0.0345534431112229i</v>
      </c>
      <c r="AD272" s="190">
        <f t="shared" si="156"/>
        <v>-29.193337053123596</v>
      </c>
      <c r="AE272" s="169">
        <f t="shared" si="157"/>
        <v>-84.726951174196159</v>
      </c>
      <c r="AF272" s="98" t="str">
        <f t="shared" si="143"/>
        <v>-0.0000119284294234592</v>
      </c>
      <c r="AG272" s="98" t="str">
        <f t="shared" si="144"/>
        <v>0.000122050194977833i</v>
      </c>
      <c r="AH272" s="98">
        <f t="shared" si="158"/>
        <v>1.22050194977833E-4</v>
      </c>
      <c r="AI272" s="98">
        <f t="shared" si="159"/>
        <v>1.5707963267948966</v>
      </c>
      <c r="AJ272" s="98" t="str">
        <f t="shared" si="145"/>
        <v>1+0.105403406715091i</v>
      </c>
      <c r="AK272" s="98">
        <f t="shared" si="160"/>
        <v>1.0055395955143422</v>
      </c>
      <c r="AL272" s="98">
        <f t="shared" si="161"/>
        <v>0.10501564855098833</v>
      </c>
      <c r="AM272" s="98" t="str">
        <f t="shared" si="146"/>
        <v>1+268.404984136037i</v>
      </c>
      <c r="AN272" s="98">
        <f t="shared" si="162"/>
        <v>268.40684698618674</v>
      </c>
      <c r="AO272" s="98">
        <f t="shared" si="163"/>
        <v>1.5670706308050188</v>
      </c>
      <c r="AP272" s="168" t="str">
        <f t="shared" si="164"/>
        <v>-25.933816195701+2.83124637678515i</v>
      </c>
      <c r="AQ272" s="98">
        <f t="shared" si="165"/>
        <v>28.328784030083682</v>
      </c>
      <c r="AR272" s="169">
        <f t="shared" si="166"/>
        <v>173.76957989923042</v>
      </c>
      <c r="AS272" s="168" t="str">
        <f t="shared" si="167"/>
        <v>0.0151255055684673+0.905131581725973i</v>
      </c>
      <c r="AT272" s="190">
        <f t="shared" si="168"/>
        <v>-0.86455302303991444</v>
      </c>
      <c r="AU272" s="169">
        <f t="shared" si="169"/>
        <v>89.042628725034277</v>
      </c>
      <c r="AV272" s="225"/>
      <c r="AX272">
        <f t="shared" si="170"/>
        <v>0</v>
      </c>
      <c r="AY272">
        <f t="shared" si="171"/>
        <v>0</v>
      </c>
    </row>
    <row r="273" spans="14:51" x14ac:dyDescent="0.2">
      <c r="N273" s="170">
        <v>55</v>
      </c>
      <c r="O273" s="199">
        <f t="shared" si="172"/>
        <v>3548.1338923357539</v>
      </c>
      <c r="P273" s="189" t="str">
        <f t="shared" si="138"/>
        <v>771.276595744681</v>
      </c>
      <c r="Q273" s="160" t="str">
        <f t="shared" si="139"/>
        <v>1+22739.4543950345i</v>
      </c>
      <c r="R273" s="160">
        <f t="shared" si="147"/>
        <v>22739.454417022716</v>
      </c>
      <c r="S273" s="160">
        <f t="shared" si="148"/>
        <v>1.5707523503659999</v>
      </c>
      <c r="T273" s="160" t="str">
        <f t="shared" si="140"/>
        <v>1+0.00535045985765517i</v>
      </c>
      <c r="U273" s="160">
        <f t="shared" si="149"/>
        <v>1.0000143136079045</v>
      </c>
      <c r="V273" s="160">
        <f t="shared" si="150"/>
        <v>5.3504088019103837E-3</v>
      </c>
      <c r="W273" s="98" t="str">
        <f t="shared" si="141"/>
        <v>1-0.0151596362633563i</v>
      </c>
      <c r="X273" s="160">
        <f t="shared" si="151"/>
        <v>1.000114900684735</v>
      </c>
      <c r="Y273" s="160">
        <f t="shared" si="152"/>
        <v>-1.5158475121689113E-2</v>
      </c>
      <c r="Z273" s="98" t="str">
        <f t="shared" si="142"/>
        <v>0.994964298352823-0.103795182389841i</v>
      </c>
      <c r="AA273" s="160">
        <f t="shared" si="153"/>
        <v>1.0003636313281614</v>
      </c>
      <c r="AB273" s="160">
        <f t="shared" si="154"/>
        <v>-0.1039445293458014</v>
      </c>
      <c r="AC273" s="171" t="str">
        <f t="shared" si="155"/>
        <v>0.00318894350999977-0.0337597632049948i</v>
      </c>
      <c r="AD273" s="190">
        <f t="shared" si="156"/>
        <v>-29.393433355976526</v>
      </c>
      <c r="AE273" s="169">
        <f t="shared" si="157"/>
        <v>-84.603858306545732</v>
      </c>
      <c r="AF273" s="98" t="str">
        <f t="shared" si="143"/>
        <v>-0.0000119284294234592</v>
      </c>
      <c r="AG273" s="98" t="str">
        <f t="shared" si="144"/>
        <v>0.000124893109227316i</v>
      </c>
      <c r="AH273" s="98">
        <f t="shared" si="158"/>
        <v>1.2489310922731599E-4</v>
      </c>
      <c r="AI273" s="98">
        <f t="shared" si="159"/>
        <v>1.5707963267948966</v>
      </c>
      <c r="AJ273" s="98" t="str">
        <f t="shared" si="145"/>
        <v>1+0.10785856745407i</v>
      </c>
      <c r="AK273" s="98">
        <f t="shared" si="160"/>
        <v>1.0057999157751227</v>
      </c>
      <c r="AL273" s="98">
        <f t="shared" si="161"/>
        <v>0.10744320638641984</v>
      </c>
      <c r="AM273" s="98" t="str">
        <f t="shared" si="146"/>
        <v>1+274.656939359632i</v>
      </c>
      <c r="AN273" s="98">
        <f t="shared" si="162"/>
        <v>274.65875980641977</v>
      </c>
      <c r="AO273" s="98">
        <f t="shared" si="163"/>
        <v>1.5671554372414218</v>
      </c>
      <c r="AP273" s="168" t="str">
        <f t="shared" si="164"/>
        <v>-25.9203935973637+2.89124562898356i</v>
      </c>
      <c r="AQ273" s="98">
        <f t="shared" si="165"/>
        <v>28.326532951500646</v>
      </c>
      <c r="AR273" s="169">
        <f t="shared" si="166"/>
        <v>173.63535013161771</v>
      </c>
      <c r="AS273" s="168" t="str">
        <f t="shared" si="167"/>
        <v>0.0149490968630087+0.884286369011624i</v>
      </c>
      <c r="AT273" s="190">
        <f t="shared" si="168"/>
        <v>-1.0669004044758892</v>
      </c>
      <c r="AU273" s="169">
        <f t="shared" si="169"/>
        <v>89.031491825071981</v>
      </c>
      <c r="AV273" s="225"/>
      <c r="AX273">
        <f t="shared" si="170"/>
        <v>0</v>
      </c>
      <c r="AY273">
        <f t="shared" si="171"/>
        <v>0</v>
      </c>
    </row>
    <row r="274" spans="14:51" x14ac:dyDescent="0.2">
      <c r="N274" s="170">
        <v>56</v>
      </c>
      <c r="O274" s="199">
        <f t="shared" si="172"/>
        <v>3630.7805477010188</v>
      </c>
      <c r="P274" s="189" t="str">
        <f t="shared" si="138"/>
        <v>771.276595744681</v>
      </c>
      <c r="Q274" s="160" t="str">
        <f t="shared" si="139"/>
        <v>1+23269.1243307267i</v>
      </c>
      <c r="R274" s="160">
        <f t="shared" si="147"/>
        <v>23269.124352214403</v>
      </c>
      <c r="S274" s="160">
        <f t="shared" si="148"/>
        <v>1.5707533513917327</v>
      </c>
      <c r="T274" s="160" t="str">
        <f t="shared" si="140"/>
        <v>1+0.00547508807781804i</v>
      </c>
      <c r="U274" s="160">
        <f t="shared" si="149"/>
        <v>1.0000149881824072</v>
      </c>
      <c r="V274" s="160">
        <f t="shared" si="150"/>
        <v>5.4750333706461421E-3</v>
      </c>
      <c r="W274" s="98" t="str">
        <f t="shared" si="141"/>
        <v>1-0.0155127495538178i</v>
      </c>
      <c r="X274" s="160">
        <f t="shared" si="151"/>
        <v>1.0001203154614546</v>
      </c>
      <c r="Y274" s="160">
        <f t="shared" si="152"/>
        <v>-1.5511505376189028E-2</v>
      </c>
      <c r="Z274" s="98" t="str">
        <f t="shared" si="142"/>
        <v>0.994726973045774-0.106212882772027i</v>
      </c>
      <c r="AA274" s="160">
        <f t="shared" si="153"/>
        <v>1.0003813909562453</v>
      </c>
      <c r="AB274" s="160">
        <f t="shared" si="154"/>
        <v>-0.10637288100923892</v>
      </c>
      <c r="AC274" s="171" t="str">
        <f t="shared" si="155"/>
        <v>0.00318885555119137-0.0329839799900207i</v>
      </c>
      <c r="AD274" s="190">
        <f t="shared" si="156"/>
        <v>-29.593534670510504</v>
      </c>
      <c r="AE274" s="169">
        <f t="shared" si="157"/>
        <v>-84.477868041417977</v>
      </c>
      <c r="AF274" s="98" t="str">
        <f t="shared" si="143"/>
        <v>-0.0000119284294234592</v>
      </c>
      <c r="AG274" s="98" t="str">
        <f t="shared" si="144"/>
        <v>0.000127802243456468i</v>
      </c>
      <c r="AH274" s="98">
        <f t="shared" si="158"/>
        <v>1.2780224345646801E-4</v>
      </c>
      <c r="AI274" s="98">
        <f t="shared" si="159"/>
        <v>1.5707963267948966</v>
      </c>
      <c r="AJ274" s="98" t="str">
        <f t="shared" si="145"/>
        <v>1+0.110370916233191i</v>
      </c>
      <c r="AK274" s="98">
        <f t="shared" si="160"/>
        <v>1.0060724323577075</v>
      </c>
      <c r="AL274" s="98">
        <f t="shared" si="161"/>
        <v>0.1099259937875245</v>
      </c>
      <c r="AM274" s="98" t="str">
        <f t="shared" si="146"/>
        <v>1+281.054521327993i</v>
      </c>
      <c r="AN274" s="98">
        <f t="shared" si="162"/>
        <v>281.05630033661805</v>
      </c>
      <c r="AO274" s="98">
        <f t="shared" si="163"/>
        <v>1.5672383132982575</v>
      </c>
      <c r="AP274" s="168" t="str">
        <f t="shared" si="164"/>
        <v>-25.90635329535+2.9526430044789i</v>
      </c>
      <c r="AQ274" s="98">
        <f t="shared" si="165"/>
        <v>28.324177279737253</v>
      </c>
      <c r="AR274" s="169">
        <f t="shared" si="166"/>
        <v>173.49784534038557</v>
      </c>
      <c r="AS274" s="168" t="str">
        <f t="shared" si="167"/>
        <v>0.014778299260405+0.86391019074375i</v>
      </c>
      <c r="AT274" s="190">
        <f t="shared" si="168"/>
        <v>-1.2693573907732532</v>
      </c>
      <c r="AU274" s="169">
        <f t="shared" si="169"/>
        <v>89.019977298967575</v>
      </c>
      <c r="AV274" s="225"/>
      <c r="AX274">
        <f t="shared" si="170"/>
        <v>0</v>
      </c>
      <c r="AY274">
        <f t="shared" si="171"/>
        <v>0</v>
      </c>
    </row>
    <row r="275" spans="14:51" x14ac:dyDescent="0.2">
      <c r="N275" s="170">
        <v>57</v>
      </c>
      <c r="O275" s="199">
        <f t="shared" si="172"/>
        <v>3715.352290971724</v>
      </c>
      <c r="P275" s="189" t="str">
        <f t="shared" ref="P275:P338" si="173">COMPLEX(Adc,0)</f>
        <v>771.276595744681</v>
      </c>
      <c r="Q275" s="160" t="str">
        <f t="shared" ref="Q275:Q338" si="174">IMSUM(COMPLEX(1,0),IMDIV(COMPLEX(0,2*PI()*O275),COMPLEX(wp_lf,0)))</f>
        <v>1+23811.1318641422i</v>
      </c>
      <c r="R275" s="160">
        <f t="shared" si="147"/>
        <v>23811.131885140781</v>
      </c>
      <c r="S275" s="160">
        <f t="shared" si="148"/>
        <v>1.570754329631338</v>
      </c>
      <c r="T275" s="160" t="str">
        <f t="shared" ref="T275:T338" si="175">IMSUM(COMPLEX(1,0),IMDIV(COMPLEX(0,2*PI()*O275),COMPLEX(wz_esr,0)))</f>
        <v>1+0.0056026192621511i</v>
      </c>
      <c r="U275" s="160">
        <f t="shared" si="149"/>
        <v>1.0000156945481389</v>
      </c>
      <c r="V275" s="160">
        <f t="shared" si="150"/>
        <v>5.6025606424099641E-3</v>
      </c>
      <c r="W275" s="98" t="str">
        <f t="shared" ref="W275:W338" si="176">IMSUB(COMPLEX(1,0),IMDIV(COMPLEX(0,2*PI()*O275),COMPLEX(wz_rhp,0)))</f>
        <v>1-0.0158740879094281i</v>
      </c>
      <c r="X275" s="160">
        <f t="shared" si="151"/>
        <v>1.0001259853973181</v>
      </c>
      <c r="Y275" s="160">
        <f t="shared" si="152"/>
        <v>-1.5872754758149681E-2</v>
      </c>
      <c r="Z275" s="98" t="str">
        <f t="shared" ref="Z275:Z338" si="177">IF(Dc_Mode_Loop="CCM",IMSUM(COMPLEX(1,0),IMDIV(COMPLEX(0,2*PI()*O275),COMPLEX(Q*(wsl/2),0)),IMDIV(IMPOWER(COMPLEX(0,2*PI()*O275),2),IMPOWER(COMPLEX(wsl/2,0),2))),COMPLEX(1,0))</f>
        <v>0.994478462941588-0.108686898630553i</v>
      </c>
      <c r="AA275" s="160">
        <f t="shared" si="153"/>
        <v>1.0004000475752646</v>
      </c>
      <c r="AB275" s="160">
        <f t="shared" si="154"/>
        <v>-0.10885830626463176</v>
      </c>
      <c r="AC275" s="171" t="str">
        <f t="shared" si="155"/>
        <v>0.00318876924938354-0.032225681911185i</v>
      </c>
      <c r="AD275" s="190">
        <f t="shared" si="156"/>
        <v>-29.79364127849864</v>
      </c>
      <c r="AE275" s="169">
        <f t="shared" si="157"/>
        <v>-84.348911003482627</v>
      </c>
      <c r="AF275" s="98" t="str">
        <f t="shared" ref="AF275:AF338" si="178">COMPLEX(Adc_ea,0)</f>
        <v>-0.0000119284294234592</v>
      </c>
      <c r="AG275" s="98" t="str">
        <f t="shared" ref="AG275:AG338" si="179">COMPLEX(0,2*PI()*O275*wp0_ea)</f>
        <v>0.000130779140126762i</v>
      </c>
      <c r="AH275" s="98">
        <f t="shared" si="158"/>
        <v>1.30779140126762E-4</v>
      </c>
      <c r="AI275" s="98">
        <f t="shared" si="159"/>
        <v>1.5707963267948966</v>
      </c>
      <c r="AJ275" s="98" t="str">
        <f t="shared" ref="AJ275:AJ338" si="180">IMSUM(COMPLEX(1,0),IMDIV(COMPLEX(0,2*PI()*O275),COMPLEX(wp1_ea,0)))</f>
        <v>1+0.112941785133031i</v>
      </c>
      <c r="AK275" s="98">
        <f t="shared" si="160"/>
        <v>1.0063577131562293</v>
      </c>
      <c r="AL275" s="98">
        <f t="shared" si="161"/>
        <v>0.11246520465863701</v>
      </c>
      <c r="AM275" s="98" t="str">
        <f t="shared" ref="AM275:AM338" si="181">IMSUM(COMPLEX(1,0),IMDIV(COMPLEX(0,2*PI()*O275),COMPLEX(wz_ea,0)))</f>
        <v>1+287.601122123757i</v>
      </c>
      <c r="AN275" s="98">
        <f t="shared" si="162"/>
        <v>287.60286063744945</v>
      </c>
      <c r="AO275" s="98">
        <f t="shared" si="163"/>
        <v>1.567319302912952</v>
      </c>
      <c r="AP275" s="168" t="str">
        <f t="shared" si="164"/>
        <v>-25.8916675876296+3.01546164719402i</v>
      </c>
      <c r="AQ275" s="98">
        <f t="shared" si="165"/>
        <v>28.321712193035037</v>
      </c>
      <c r="AR275" s="169">
        <f t="shared" si="166"/>
        <v>173.35699963728345</v>
      </c>
      <c r="AS275" s="168" t="str">
        <f t="shared" si="167"/>
        <v>0.0146127544391587+0.843992255202358i</v>
      </c>
      <c r="AT275" s="190">
        <f t="shared" si="168"/>
        <v>-1.4719290854636038</v>
      </c>
      <c r="AU275" s="169">
        <f t="shared" si="169"/>
        <v>89.008088633800824</v>
      </c>
      <c r="AV275" s="225"/>
      <c r="AX275">
        <f t="shared" si="170"/>
        <v>0</v>
      </c>
      <c r="AY275">
        <f t="shared" si="171"/>
        <v>0</v>
      </c>
    </row>
    <row r="276" spans="14:51" x14ac:dyDescent="0.2">
      <c r="N276" s="170">
        <v>58</v>
      </c>
      <c r="O276" s="199">
        <f t="shared" si="172"/>
        <v>3801.8939632056172</v>
      </c>
      <c r="P276" s="189" t="str">
        <f t="shared" si="173"/>
        <v>771.276595744681</v>
      </c>
      <c r="Q276" s="160" t="str">
        <f t="shared" si="174"/>
        <v>1+24365.7643748497i</v>
      </c>
      <c r="R276" s="160">
        <f t="shared" ref="R276:R339" si="182">IMABS(Q276)</f>
        <v>24365.764395370294</v>
      </c>
      <c r="S276" s="160">
        <f t="shared" ref="S276:S339" si="183">IMARGUMENT(Q276)</f>
        <v>1.5707552856034916</v>
      </c>
      <c r="T276" s="160" t="str">
        <f t="shared" si="175"/>
        <v>1+0.00573312102937639i</v>
      </c>
      <c r="U276" s="160">
        <f t="shared" ref="U276:U339" si="184">IMABS(T276)</f>
        <v>1.0000164342033273</v>
      </c>
      <c r="V276" s="160">
        <f t="shared" ref="V276:V339" si="185">IMARGUMENT(T276)</f>
        <v>5.7330582172478457E-3</v>
      </c>
      <c r="W276" s="98" t="str">
        <f t="shared" si="176"/>
        <v>1-0.0162438429165664i</v>
      </c>
      <c r="X276" s="160">
        <f t="shared" ref="X276:X339" si="186">IMABS(W276)</f>
        <v>1.0001319225145742</v>
      </c>
      <c r="Y276" s="160">
        <f t="shared" ref="Y276:Y339" si="187">IMARGUMENT(W276)</f>
        <v>-1.6242414429411264E-2</v>
      </c>
      <c r="Z276" s="98" t="str">
        <f t="shared" si="177"/>
        <v>0.994218240917016-0.111218541721373i</v>
      </c>
      <c r="AA276" s="160">
        <f t="shared" ref="AA276:AA339" si="188">IMABS(Z276)</f>
        <v>1.0004196492446331</v>
      </c>
      <c r="AB276" s="160">
        <f t="shared" ref="AB276:AB339" si="189">IMARGUMENT(Z276)</f>
        <v>-0.1114021706404216</v>
      </c>
      <c r="AC276" s="171" t="str">
        <f t="shared" ref="AC276:AC339" si="190">(IMDIV(IMPRODUCT(P276,T276,W276),IMPRODUCT(Q276,Z276)))</f>
        <v>0.00318868436739391-0.0314844666685194i</v>
      </c>
      <c r="AD276" s="190">
        <f t="shared" ref="AD276:AD339" si="191">20*LOG(IMABS(AC276))</f>
        <v>-29.99375347938318</v>
      </c>
      <c r="AE276" s="169">
        <f t="shared" ref="AE276:AE339" si="192">(180/PI())*IMARGUMENT(AC276)</f>
        <v>-84.216916063010487</v>
      </c>
      <c r="AF276" s="98" t="str">
        <f t="shared" si="178"/>
        <v>-0.0000119284294234592</v>
      </c>
      <c r="AG276" s="98" t="str">
        <f t="shared" si="179"/>
        <v>0.000133825377628218i</v>
      </c>
      <c r="AH276" s="98">
        <f t="shared" ref="AH276:AH339" si="193">IMABS(AG276)</f>
        <v>1.3382537762821799E-4</v>
      </c>
      <c r="AI276" s="98">
        <f t="shared" ref="AI276:AI339" si="194">IMARGUMENT(AG276)</f>
        <v>1.5707963267948966</v>
      </c>
      <c r="AJ276" s="98" t="str">
        <f t="shared" si="180"/>
        <v>1+0.115572537262309i</v>
      </c>
      <c r="AK276" s="98">
        <f t="shared" ref="AK276:AK339" si="195">IMABS(AJ276)</f>
        <v>1.0066563521725018</v>
      </c>
      <c r="AL276" s="98">
        <f t="shared" ref="AL276:AL339" si="196">IMARGUMENT(AJ276)</f>
        <v>0.11506205427758895</v>
      </c>
      <c r="AM276" s="98" t="str">
        <f t="shared" si="181"/>
        <v>1+294.300212841321i</v>
      </c>
      <c r="AN276" s="98">
        <f t="shared" ref="AN276:AN339" si="197">IMABS(AM276)</f>
        <v>294.30191178184157</v>
      </c>
      <c r="AO276" s="98">
        <f t="shared" ref="AO276:AO339" si="198">IMARGUMENT(AM276)</f>
        <v>1.5673984490230184</v>
      </c>
      <c r="AP276" s="168" t="str">
        <f t="shared" ref="AP276:AP339" si="199">IMPRODUCT(AF276,IMDIV(AM276,IMPRODUCT(AG276,AJ276)))</f>
        <v>-25.8763075987353+3.07972480971661i</v>
      </c>
      <c r="AQ276" s="98">
        <f t="shared" ref="AQ276:AQ339" si="200">20*LOG(IMABS(AP276))</f>
        <v>28.31913265414617</v>
      </c>
      <c r="AR276" s="169">
        <f t="shared" ref="AR276:AR339" si="201">(180/PI())*IMARGUMENT(AP276)</f>
        <v>173.21274585215903</v>
      </c>
      <c r="AS276" s="168" t="str">
        <f t="shared" ref="AS276:AS339" si="202">IMPRODUCT(AC276,AP276)</f>
        <v>0.0144521155937714+0.824522014453355i</v>
      </c>
      <c r="AT276" s="190">
        <f t="shared" ref="AT276:AT339" si="203">20*LOG(IMABS(AS276))</f>
        <v>-1.6746208252370094</v>
      </c>
      <c r="AU276" s="169">
        <f t="shared" ref="AU276:AU339" si="204">(180/PI())*IMARGUMENT(AS276)</f>
        <v>88.995829789148544</v>
      </c>
      <c r="AV276" s="225"/>
      <c r="AX276">
        <f t="shared" ref="AX276:AX339" si="205">SUM((AT277&lt;0)*(AT276&gt;0))*O276</f>
        <v>0</v>
      </c>
      <c r="AY276">
        <f t="shared" ref="AY276:AY339" si="206">IF(AX276&gt;0,AU276,0)</f>
        <v>0</v>
      </c>
    </row>
    <row r="277" spans="14:51" x14ac:dyDescent="0.2">
      <c r="N277" s="170">
        <v>59</v>
      </c>
      <c r="O277" s="199">
        <f t="shared" si="172"/>
        <v>3890.451449942811</v>
      </c>
      <c r="P277" s="189" t="str">
        <f t="shared" si="173"/>
        <v>771.276595744681</v>
      </c>
      <c r="Q277" s="160" t="str">
        <f t="shared" si="174"/>
        <v>1+24933.3159363477i</v>
      </c>
      <c r="R277" s="160">
        <f t="shared" si="182"/>
        <v>24933.315956401188</v>
      </c>
      <c r="S277" s="160">
        <f t="shared" si="183"/>
        <v>1.5707562198150622</v>
      </c>
      <c r="T277" s="160" t="str">
        <f t="shared" si="175"/>
        <v>1+0.00586666257325828i</v>
      </c>
      <c r="U277" s="160">
        <f t="shared" si="184"/>
        <v>1.0000172087168042</v>
      </c>
      <c r="V277" s="160">
        <f t="shared" si="185"/>
        <v>5.8665952689124952E-3</v>
      </c>
      <c r="W277" s="98" t="str">
        <f t="shared" si="176"/>
        <v>1-0.0166222106242318i</v>
      </c>
      <c r="X277" s="160">
        <f t="shared" si="186"/>
        <v>1.000138139401771</v>
      </c>
      <c r="Y277" s="160">
        <f t="shared" si="187"/>
        <v>-1.6620679984085795E-2</v>
      </c>
      <c r="Z277" s="98" t="str">
        <f t="shared" si="177"/>
        <v>0.993945755006255-0.113809154355166i</v>
      </c>
      <c r="AA277" s="160">
        <f t="shared" si="188"/>
        <v>1.0004402468463534</v>
      </c>
      <c r="AB277" s="160">
        <f t="shared" si="189"/>
        <v>-0.11400587401073846</v>
      </c>
      <c r="AC277" s="171" t="str">
        <f t="shared" si="190"/>
        <v>0.00318860066584123-0.030759941002821i</v>
      </c>
      <c r="AD277" s="190">
        <f t="shared" si="191"/>
        <v>-30.193871591530073</v>
      </c>
      <c r="AE277" s="169">
        <f t="shared" si="192"/>
        <v>-84.081810285516511</v>
      </c>
      <c r="AF277" s="98" t="str">
        <f t="shared" si="178"/>
        <v>-0.0000119284294234592</v>
      </c>
      <c r="AG277" s="98" t="str">
        <f t="shared" si="179"/>
        <v>0.000136942571116281i</v>
      </c>
      <c r="AH277" s="98">
        <f t="shared" si="193"/>
        <v>1.3694257111628101E-4</v>
      </c>
      <c r="AI277" s="98">
        <f t="shared" si="194"/>
        <v>1.5707963267948966</v>
      </c>
      <c r="AJ277" s="98" t="str">
        <f t="shared" si="180"/>
        <v>1+0.118264567480627i</v>
      </c>
      <c r="AK277" s="98">
        <f t="shared" si="195"/>
        <v>1.0069689706844891</v>
      </c>
      <c r="AL277" s="98">
        <f t="shared" si="196"/>
        <v>0.11771777935516313</v>
      </c>
      <c r="AM277" s="98" t="str">
        <f t="shared" si="181"/>
        <v>1+301.155345427259i</v>
      </c>
      <c r="AN277" s="98">
        <f t="shared" si="197"/>
        <v>301.15700569538757</v>
      </c>
      <c r="AO277" s="98">
        <f t="shared" si="198"/>
        <v>1.5674757935888033</v>
      </c>
      <c r="AP277" s="168" t="str">
        <f t="shared" si="199"/>
        <v>-25.8602432366477+3.1454558228295i</v>
      </c>
      <c r="AQ277" s="98">
        <f t="shared" si="200"/>
        <v>28.31643340120829</v>
      </c>
      <c r="AR277" s="169">
        <f t="shared" si="201"/>
        <v>173.06501553085474</v>
      </c>
      <c r="AS277" s="168" t="str">
        <f t="shared" si="202"/>
        <v>0.0142960467340242+0.805489158808932i</v>
      </c>
      <c r="AT277" s="190">
        <f t="shared" si="203"/>
        <v>-1.8774381903217865</v>
      </c>
      <c r="AU277" s="169">
        <f t="shared" si="204"/>
        <v>88.983205245338212</v>
      </c>
      <c r="AV277" s="225"/>
      <c r="AX277">
        <f t="shared" si="205"/>
        <v>0</v>
      </c>
      <c r="AY277">
        <f t="shared" si="206"/>
        <v>0</v>
      </c>
    </row>
    <row r="278" spans="14:51" x14ac:dyDescent="0.2">
      <c r="N278" s="170">
        <v>60</v>
      </c>
      <c r="O278" s="199">
        <f t="shared" si="172"/>
        <v>3981.0717055349769</v>
      </c>
      <c r="P278" s="189" t="str">
        <f t="shared" si="173"/>
        <v>771.276595744681</v>
      </c>
      <c r="Q278" s="160" t="str">
        <f t="shared" si="174"/>
        <v>1+25514.0874719866i</v>
      </c>
      <c r="R278" s="160">
        <f t="shared" si="182"/>
        <v>25514.087491583614</v>
      </c>
      <c r="S278" s="160">
        <f t="shared" si="183"/>
        <v>1.5707571327613814</v>
      </c>
      <c r="T278" s="160" t="str">
        <f t="shared" si="175"/>
        <v>1+0.00600331469929096i</v>
      </c>
      <c r="U278" s="160">
        <f t="shared" si="184"/>
        <v>1.000018019731334</v>
      </c>
      <c r="V278" s="160">
        <f t="shared" si="185"/>
        <v>6.0032425814553108E-3</v>
      </c>
      <c r="W278" s="98" t="str">
        <f t="shared" si="176"/>
        <v>1-0.0170093916479911i</v>
      </c>
      <c r="X278" s="160">
        <f t="shared" si="186"/>
        <v>1.000144649240416</v>
      </c>
      <c r="Y278" s="160">
        <f t="shared" si="187"/>
        <v>-1.7007751550336271E-2</v>
      </c>
      <c r="Z278" s="98" t="str">
        <f t="shared" si="177"/>
        <v>0.993660427230156-0.11646011010904i</v>
      </c>
      <c r="AA278" s="160">
        <f t="shared" si="188"/>
        <v>1.0004618942717538</v>
      </c>
      <c r="AB278" s="160">
        <f t="shared" si="189"/>
        <v>-0.11667085157150713</v>
      </c>
      <c r="AC278" s="171" t="str">
        <f t="shared" si="190"/>
        <v>0.0031885179021363-0.0300517204859912i</v>
      </c>
      <c r="AD278" s="190">
        <f t="shared" si="191"/>
        <v>-30.393995953583534</v>
      </c>
      <c r="AE278" s="169">
        <f t="shared" si="192"/>
        <v>-83.943518879583621</v>
      </c>
      <c r="AF278" s="98" t="str">
        <f t="shared" si="178"/>
        <v>-0.0000119284294234592</v>
      </c>
      <c r="AG278" s="98" t="str">
        <f t="shared" si="179"/>
        <v>0.0001401323733682i</v>
      </c>
      <c r="AH278" s="98">
        <f t="shared" si="193"/>
        <v>1.401323733682E-4</v>
      </c>
      <c r="AI278" s="98">
        <f t="shared" si="194"/>
        <v>1.5707963267948966</v>
      </c>
      <c r="AJ278" s="98" t="str">
        <f t="shared" si="180"/>
        <v>1+0.12101930313804i</v>
      </c>
      <c r="AK278" s="98">
        <f t="shared" si="195"/>
        <v>1.0072962184640708</v>
      </c>
      <c r="AL278" s="98">
        <f t="shared" si="196"/>
        <v>0.12043363806716083</v>
      </c>
      <c r="AM278" s="98" t="str">
        <f t="shared" si="181"/>
        <v>1+308.170154563603i</v>
      </c>
      <c r="AN278" s="98">
        <f t="shared" si="197"/>
        <v>308.17177703961625</v>
      </c>
      <c r="AO278" s="98">
        <f t="shared" si="198"/>
        <v>1.5675513776157159</v>
      </c>
      <c r="AP278" s="168" t="str">
        <f t="shared" si="199"/>
        <v>-25.843443148744+3.21267806240989i</v>
      </c>
      <c r="AQ278" s="98">
        <f t="shared" si="200"/>
        <v>28.313608938287345</v>
      </c>
      <c r="AR278" s="169">
        <f t="shared" si="201"/>
        <v>172.9137389346441</v>
      </c>
      <c r="AS278" s="168" t="str">
        <f t="shared" si="202"/>
        <v>0.0141442220104059+0.786883611417453i</v>
      </c>
      <c r="AT278" s="190">
        <f t="shared" si="203"/>
        <v>-2.0803870152961883</v>
      </c>
      <c r="AU278" s="169">
        <f t="shared" si="204"/>
        <v>88.970220055060508</v>
      </c>
      <c r="AV278" s="225"/>
      <c r="AX278">
        <f t="shared" si="205"/>
        <v>0</v>
      </c>
      <c r="AY278">
        <f t="shared" si="206"/>
        <v>0</v>
      </c>
    </row>
    <row r="279" spans="14:51" x14ac:dyDescent="0.2">
      <c r="N279" s="170">
        <v>61</v>
      </c>
      <c r="O279" s="199">
        <f t="shared" si="172"/>
        <v>4073.8027780411317</v>
      </c>
      <c r="P279" s="189" t="str">
        <f t="shared" si="173"/>
        <v>771.276595744681</v>
      </c>
      <c r="Q279" s="160" t="str">
        <f t="shared" si="174"/>
        <v>1+26108.3869145221i</v>
      </c>
      <c r="R279" s="160">
        <f t="shared" si="182"/>
        <v>26108.386933673035</v>
      </c>
      <c r="S279" s="160">
        <f t="shared" si="183"/>
        <v>1.5707580249265052</v>
      </c>
      <c r="T279" s="160" t="str">
        <f t="shared" si="175"/>
        <v>1+0.00614314986224049i</v>
      </c>
      <c r="U279" s="160">
        <f t="shared" si="184"/>
        <v>1.0000188689670959</v>
      </c>
      <c r="V279" s="160">
        <f t="shared" si="185"/>
        <v>6.1430725866660884E-3</v>
      </c>
      <c r="W279" s="98" t="str">
        <f t="shared" si="176"/>
        <v>1-0.017405591276348i</v>
      </c>
      <c r="X279" s="160">
        <f t="shared" si="186"/>
        <v>1.0001514658328905</v>
      </c>
      <c r="Y279" s="160">
        <f t="shared" si="187"/>
        <v>-1.7403833894422262E-2</v>
      </c>
      <c r="Z279" s="98" t="str">
        <f t="shared" si="177"/>
        <v>0.99336165237025-0.119172814554825i</v>
      </c>
      <c r="AA279" s="160">
        <f t="shared" si="188"/>
        <v>1.0004846486221926</v>
      </c>
      <c r="AB279" s="160">
        <f t="shared" si="189"/>
        <v>-0.11939857485122575</v>
      </c>
      <c r="AC279" s="171" t="str">
        <f t="shared" si="190"/>
        <v>0.00318843582941862-0.0293594293159806i</v>
      </c>
      <c r="AD279" s="190">
        <f t="shared" si="191"/>
        <v>-30.594126925928929</v>
      </c>
      <c r="AE279" s="169">
        <f t="shared" si="192"/>
        <v>-83.801965142780276</v>
      </c>
      <c r="AF279" s="98" t="str">
        <f t="shared" si="178"/>
        <v>-0.0000119284294234592</v>
      </c>
      <c r="AG279" s="98" t="str">
        <f t="shared" si="179"/>
        <v>0.000143396475659349i</v>
      </c>
      <c r="AH279" s="98">
        <f t="shared" si="193"/>
        <v>1.4339647565934899E-4</v>
      </c>
      <c r="AI279" s="98">
        <f t="shared" si="194"/>
        <v>1.5707963267948966</v>
      </c>
      <c r="AJ279" s="98" t="str">
        <f t="shared" si="180"/>
        <v>1+0.123838204831856i</v>
      </c>
      <c r="AK279" s="98">
        <f t="shared" si="195"/>
        <v>1.0076387750458875</v>
      </c>
      <c r="AL279" s="98">
        <f t="shared" si="196"/>
        <v>0.12321091005669824</v>
      </c>
      <c r="AM279" s="98" t="str">
        <f t="shared" si="181"/>
        <v>1+315.348359595012i</v>
      </c>
      <c r="AN279" s="98">
        <f t="shared" si="197"/>
        <v>315.34994513915018</v>
      </c>
      <c r="AO279" s="98">
        <f t="shared" si="198"/>
        <v>1.5676252411759513</v>
      </c>
      <c r="AP279" s="168" t="str">
        <f t="shared" si="199"/>
        <v>-25.8258746768633+3.281414913534i</v>
      </c>
      <c r="AQ279" s="98">
        <f t="shared" si="200"/>
        <v>28.310653525582484</v>
      </c>
      <c r="AR279" s="169">
        <f t="shared" si="201"/>
        <v>172.75884504134501</v>
      </c>
      <c r="AS279" s="168" t="str">
        <f t="shared" si="202"/>
        <v>0.0139963250645201+0.768695522980242i</v>
      </c>
      <c r="AT279" s="190">
        <f t="shared" si="203"/>
        <v>-2.2834734003464394</v>
      </c>
      <c r="AU279" s="169">
        <f t="shared" si="204"/>
        <v>88.956879898564736</v>
      </c>
      <c r="AV279" s="225"/>
      <c r="AX279">
        <f t="shared" si="205"/>
        <v>0</v>
      </c>
      <c r="AY279">
        <f t="shared" si="206"/>
        <v>0</v>
      </c>
    </row>
    <row r="280" spans="14:51" x14ac:dyDescent="0.2">
      <c r="N280" s="170">
        <v>62</v>
      </c>
      <c r="O280" s="199">
        <f t="shared" si="172"/>
        <v>4168.6938347033583</v>
      </c>
      <c r="P280" s="189" t="str">
        <f t="shared" si="173"/>
        <v>771.276595744681</v>
      </c>
      <c r="Q280" s="160" t="str">
        <f t="shared" si="174"/>
        <v>1+26716.5293693851i</v>
      </c>
      <c r="R280" s="160">
        <f t="shared" si="182"/>
        <v>26716.529388100105</v>
      </c>
      <c r="S280" s="160">
        <f t="shared" si="183"/>
        <v>1.5707588967834716</v>
      </c>
      <c r="T280" s="160" t="str">
        <f t="shared" si="175"/>
        <v>1+0.00628624220456119i</v>
      </c>
      <c r="U280" s="160">
        <f t="shared" si="184"/>
        <v>1.0000197582253334</v>
      </c>
      <c r="V280" s="160">
        <f t="shared" si="185"/>
        <v>6.286159402379754E-3</v>
      </c>
      <c r="W280" s="98" t="str">
        <f t="shared" si="176"/>
        <v>1-0.01781101957959i</v>
      </c>
      <c r="X280" s="160">
        <f t="shared" si="186"/>
        <v>1.0001586036316763</v>
      </c>
      <c r="Y280" s="160">
        <f t="shared" si="187"/>
        <v>-1.7809136527057342E-2</v>
      </c>
      <c r="Z280" s="98" t="str">
        <f t="shared" si="177"/>
        <v>0.993048796685002-0.121948706004327i</v>
      </c>
      <c r="AA280" s="160">
        <f t="shared" si="188"/>
        <v>1.0005085704248915</v>
      </c>
      <c r="AB280" s="160">
        <f t="shared" si="189"/>
        <v>-0.12219055275797923</v>
      </c>
      <c r="AC280" s="171" t="str">
        <f t="shared" si="190"/>
        <v>0.00318835419543092-0.0286827001162272i</v>
      </c>
      <c r="AD280" s="190">
        <f t="shared" si="191"/>
        <v>-30.794264892273169</v>
      </c>
      <c r="AE280" s="169">
        <f t="shared" si="192"/>
        <v>-83.657070405585216</v>
      </c>
      <c r="AF280" s="98" t="str">
        <f t="shared" si="178"/>
        <v>-0.0000119284294234592</v>
      </c>
      <c r="AG280" s="98" t="str">
        <f t="shared" si="179"/>
        <v>0.000146736608659969i</v>
      </c>
      <c r="AH280" s="98">
        <f t="shared" si="193"/>
        <v>1.4673660865996901E-4</v>
      </c>
      <c r="AI280" s="98">
        <f t="shared" si="194"/>
        <v>1.5707963267948966</v>
      </c>
      <c r="AJ280" s="98" t="str">
        <f t="shared" si="180"/>
        <v>1+0.126722767181068i</v>
      </c>
      <c r="AK280" s="98">
        <f t="shared" si="195"/>
        <v>1.0079973510491123</v>
      </c>
      <c r="AL280" s="98">
        <f t="shared" si="196"/>
        <v>0.12605089640419179</v>
      </c>
      <c r="AM280" s="98" t="str">
        <f t="shared" si="181"/>
        <v>1+322.693766500808i</v>
      </c>
      <c r="AN280" s="98">
        <f t="shared" si="197"/>
        <v>322.69531595373059</v>
      </c>
      <c r="AO280" s="98">
        <f t="shared" si="198"/>
        <v>1.567697423429721</v>
      </c>
      <c r="AP280" s="168" t="str">
        <f t="shared" si="199"/>
        <v>-25.8075038115413+3.35168973161506i</v>
      </c>
      <c r="AQ280" s="98">
        <f t="shared" si="200"/>
        <v>28.307561169283737</v>
      </c>
      <c r="AR280" s="169">
        <f t="shared" si="201"/>
        <v>172.60026154825559</v>
      </c>
      <c r="AS280" s="168" t="str">
        <f t="shared" si="202"/>
        <v>0.0138520484034256+0.750915266592407i</v>
      </c>
      <c r="AT280" s="190">
        <f t="shared" si="203"/>
        <v>-2.486703722989438</v>
      </c>
      <c r="AU280" s="169">
        <f t="shared" si="204"/>
        <v>88.943191142670386</v>
      </c>
      <c r="AV280" s="225"/>
      <c r="AX280">
        <f t="shared" si="205"/>
        <v>0</v>
      </c>
      <c r="AY280">
        <f t="shared" si="206"/>
        <v>0</v>
      </c>
    </row>
    <row r="281" spans="14:51" x14ac:dyDescent="0.2">
      <c r="N281" s="170">
        <v>63</v>
      </c>
      <c r="O281" s="199">
        <f t="shared" si="172"/>
        <v>4265.7951880159299</v>
      </c>
      <c r="P281" s="189" t="str">
        <f t="shared" si="173"/>
        <v>771.276595744681</v>
      </c>
      <c r="Q281" s="160" t="str">
        <f t="shared" si="174"/>
        <v>1+27338.8372817547i</v>
      </c>
      <c r="R281" s="160">
        <f t="shared" si="182"/>
        <v>27338.837300043699</v>
      </c>
      <c r="S281" s="160">
        <f t="shared" si="183"/>
        <v>1.5707597487945506</v>
      </c>
      <c r="T281" s="160" t="str">
        <f t="shared" si="175"/>
        <v>1+0.00643266759570698i</v>
      </c>
      <c r="U281" s="160">
        <f t="shared" si="184"/>
        <v>1.0000206893921728</v>
      </c>
      <c r="V281" s="160">
        <f t="shared" si="185"/>
        <v>6.4325788716701939E-3</v>
      </c>
      <c r="W281" s="98" t="str">
        <f t="shared" si="176"/>
        <v>1-0.0182258915211698i</v>
      </c>
      <c r="X281" s="160">
        <f t="shared" si="186"/>
        <v>1.0001660777699579</v>
      </c>
      <c r="Y281" s="160">
        <f t="shared" si="187"/>
        <v>-1.8223873812123193E-2</v>
      </c>
      <c r="Z281" s="98" t="str">
        <f t="shared" si="177"/>
        <v>0.99272119656556-0.124789256271934i</v>
      </c>
      <c r="AA281" s="160">
        <f t="shared" si="188"/>
        <v>1.0005337238651477</v>
      </c>
      <c r="AB281" s="160">
        <f t="shared" si="189"/>
        <v>-0.12504833266434282</v>
      </c>
      <c r="AC281" s="171" t="str">
        <f t="shared" si="190"/>
        <v>0.00318827274132473-0.0280211737394767i</v>
      </c>
      <c r="AD281" s="190">
        <f t="shared" si="191"/>
        <v>-30.994410261352773</v>
      </c>
      <c r="AE281" s="169">
        <f t="shared" si="192"/>
        <v>-83.508753973224287</v>
      </c>
      <c r="AF281" s="98" t="str">
        <f t="shared" si="178"/>
        <v>-0.0000119284294234592</v>
      </c>
      <c r="AG281" s="98" t="str">
        <f t="shared" si="179"/>
        <v>0.00015015454335279i</v>
      </c>
      <c r="AH281" s="98">
        <f t="shared" si="193"/>
        <v>1.5015454335279001E-4</v>
      </c>
      <c r="AI281" s="98">
        <f t="shared" si="194"/>
        <v>1.5707963267948966</v>
      </c>
      <c r="AJ281" s="98" t="str">
        <f t="shared" si="180"/>
        <v>1+0.129674519618812i</v>
      </c>
      <c r="AK281" s="98">
        <f t="shared" si="195"/>
        <v>1.0083726895540011</v>
      </c>
      <c r="AL281" s="98">
        <f t="shared" si="196"/>
        <v>0.12895491956232236</v>
      </c>
      <c r="AM281" s="98" t="str">
        <f t="shared" si="181"/>
        <v>1+330.210269912958i</v>
      </c>
      <c r="AN281" s="98">
        <f t="shared" si="197"/>
        <v>330.2117840961896</v>
      </c>
      <c r="AO281" s="98">
        <f t="shared" si="198"/>
        <v>1.5677679626460006</v>
      </c>
      <c r="AP281" s="168" t="str">
        <f t="shared" si="199"/>
        <v>-25.7882951454947+3.42352580039721i</v>
      </c>
      <c r="AQ281" s="98">
        <f t="shared" si="200"/>
        <v>28.304325611079744</v>
      </c>
      <c r="AR281" s="169">
        <f t="shared" si="201"/>
        <v>172.43791487706946</v>
      </c>
      <c r="AS281" s="168" t="str">
        <f t="shared" si="202"/>
        <v>0.0137110927968936+0.733533432705439i</v>
      </c>
      <c r="AT281" s="190">
        <f t="shared" si="203"/>
        <v>-2.6900846502730262</v>
      </c>
      <c r="AU281" s="169">
        <f t="shared" si="204"/>
        <v>88.929160903845172</v>
      </c>
      <c r="AV281" s="225"/>
      <c r="AX281">
        <f t="shared" si="205"/>
        <v>0</v>
      </c>
      <c r="AY281">
        <f t="shared" si="206"/>
        <v>0</v>
      </c>
    </row>
    <row r="282" spans="14:51" x14ac:dyDescent="0.2">
      <c r="N282" s="170">
        <v>64</v>
      </c>
      <c r="O282" s="199">
        <f t="shared" si="172"/>
        <v>4365.1583224016631</v>
      </c>
      <c r="P282" s="189" t="str">
        <f t="shared" si="173"/>
        <v>771.276595744681</v>
      </c>
      <c r="Q282" s="160" t="str">
        <f t="shared" si="174"/>
        <v>1+27975.6406075233i</v>
      </c>
      <c r="R282" s="160">
        <f t="shared" si="182"/>
        <v>27975.640625395987</v>
      </c>
      <c r="S282" s="160">
        <f t="shared" si="183"/>
        <v>1.5707605814114896</v>
      </c>
      <c r="T282" s="160" t="str">
        <f t="shared" si="175"/>
        <v>1+0.00658250367235843i</v>
      </c>
      <c r="U282" s="160">
        <f t="shared" si="184"/>
        <v>1.0000216644426243</v>
      </c>
      <c r="V282" s="160">
        <f t="shared" si="185"/>
        <v>6.5824086029514116E-3</v>
      </c>
      <c r="W282" s="98" t="str">
        <f t="shared" si="176"/>
        <v>1-0.0186504270716822i</v>
      </c>
      <c r="X282" s="160">
        <f t="shared" si="186"/>
        <v>1.0001739040936612</v>
      </c>
      <c r="Y282" s="160">
        <f t="shared" si="187"/>
        <v>-1.8648265077788793E-2</v>
      </c>
      <c r="Z282" s="98" t="str">
        <f t="shared" si="177"/>
        <v>0.992378157128147-0.127695971454997i</v>
      </c>
      <c r="AA282" s="160">
        <f t="shared" si="188"/>
        <v>1.0005601770362904</v>
      </c>
      <c r="AB282" s="160">
        <f t="shared" si="189"/>
        <v>-0.12797350153193984</v>
      </c>
      <c r="AC282" s="171" t="str">
        <f t="shared" si="190"/>
        <v>0.00318819120038882-0.027374499075874i</v>
      </c>
      <c r="AD282" s="190">
        <f t="shared" si="191"/>
        <v>-31.194563468781173</v>
      </c>
      <c r="AE282" s="169">
        <f t="shared" si="192"/>
        <v>-83.356933065321357</v>
      </c>
      <c r="AF282" s="98" t="str">
        <f t="shared" si="178"/>
        <v>-0.0000119284294234592</v>
      </c>
      <c r="AG282" s="98" t="str">
        <f t="shared" si="179"/>
        <v>0.000153652091972027i</v>
      </c>
      <c r="AH282" s="98">
        <f t="shared" si="193"/>
        <v>1.53652091972027E-4</v>
      </c>
      <c r="AI282" s="98">
        <f t="shared" si="194"/>
        <v>1.5707963267948966</v>
      </c>
      <c r="AJ282" s="98" t="str">
        <f t="shared" si="180"/>
        <v>1+0.132695027203303i</v>
      </c>
      <c r="AK282" s="98">
        <f t="shared" si="195"/>
        <v>1.0087655675351361</v>
      </c>
      <c r="AL282" s="98">
        <f t="shared" si="196"/>
        <v>0.13192432325315726</v>
      </c>
      <c r="AM282" s="98" t="str">
        <f t="shared" si="181"/>
        <v>1+337.901855181066i</v>
      </c>
      <c r="AN282" s="98">
        <f t="shared" si="197"/>
        <v>337.90333489743205</v>
      </c>
      <c r="AO282" s="98">
        <f t="shared" si="198"/>
        <v>1.5678368962228073</v>
      </c>
      <c r="AP282" s="168" t="str">
        <f t="shared" si="199"/>
        <v>-25.7682118264322+3.4969462866204i</v>
      </c>
      <c r="AQ282" s="98">
        <f t="shared" si="200"/>
        <v>28.300940317307965</v>
      </c>
      <c r="AR282" s="169">
        <f t="shared" si="201"/>
        <v>172.2717301809318</v>
      </c>
      <c r="AS282" s="168" t="str">
        <f t="shared" si="202"/>
        <v>0.0135731666966849+0.716540824208829i</v>
      </c>
      <c r="AT282" s="190">
        <f t="shared" si="203"/>
        <v>-2.8936231514732129</v>
      </c>
      <c r="AU282" s="169">
        <f t="shared" si="204"/>
        <v>88.914797115610455</v>
      </c>
      <c r="AV282" s="225"/>
      <c r="AX282">
        <f t="shared" si="205"/>
        <v>0</v>
      </c>
      <c r="AY282">
        <f t="shared" si="206"/>
        <v>0</v>
      </c>
    </row>
    <row r="283" spans="14:51" x14ac:dyDescent="0.2">
      <c r="N283" s="170">
        <v>65</v>
      </c>
      <c r="O283" s="199">
        <f t="shared" si="172"/>
        <v>4466.8359215096343</v>
      </c>
      <c r="P283" s="189" t="str">
        <f t="shared" si="173"/>
        <v>771.276595744681</v>
      </c>
      <c r="Q283" s="160" t="str">
        <f t="shared" si="174"/>
        <v>1+28627.2769882435i</v>
      </c>
      <c r="R283" s="160">
        <f t="shared" si="182"/>
        <v>28627.277005709355</v>
      </c>
      <c r="S283" s="160">
        <f t="shared" si="183"/>
        <v>1.5707613950757533</v>
      </c>
      <c r="T283" s="160" t="str">
        <f t="shared" si="175"/>
        <v>1+0.00673582987958671i</v>
      </c>
      <c r="U283" s="160">
        <f t="shared" si="184"/>
        <v>1.0000226854447687</v>
      </c>
      <c r="V283" s="160">
        <f t="shared" si="185"/>
        <v>6.7357280110065601E-3</v>
      </c>
      <c r="W283" s="98" t="str">
        <f t="shared" si="176"/>
        <v>1-0.0190848513254957i</v>
      </c>
      <c r="X283" s="160">
        <f t="shared" si="186"/>
        <v>1.0001820991949997</v>
      </c>
      <c r="Y283" s="160">
        <f t="shared" si="187"/>
        <v>-1.9082534730080238E-2</v>
      </c>
      <c r="Z283" s="98" t="str">
        <f t="shared" si="177"/>
        <v>0.992018950740124-0.130670392732381i</v>
      </c>
      <c r="AA283" s="160">
        <f t="shared" si="188"/>
        <v>1.0005880022088869</v>
      </c>
      <c r="AB283" s="160">
        <f t="shared" si="189"/>
        <v>-0.13096768707746589</v>
      </c>
      <c r="AC283" s="171" t="str">
        <f t="shared" si="190"/>
        <v>0.0031881092966917-0.0267423328652211i</v>
      </c>
      <c r="AD283" s="190">
        <f t="shared" si="191"/>
        <v>-31.394724979046845</v>
      </c>
      <c r="AE283" s="169">
        <f t="shared" si="192"/>
        <v>-83.201522753259795</v>
      </c>
      <c r="AF283" s="98" t="str">
        <f t="shared" si="178"/>
        <v>-0.0000119284294234592</v>
      </c>
      <c r="AG283" s="98" t="str">
        <f t="shared" si="179"/>
        <v>0.000157231108964253i</v>
      </c>
      <c r="AH283" s="98">
        <f t="shared" si="193"/>
        <v>1.5723110896425301E-4</v>
      </c>
      <c r="AI283" s="98">
        <f t="shared" si="194"/>
        <v>1.5707963267948966</v>
      </c>
      <c r="AJ283" s="98" t="str">
        <f t="shared" si="180"/>
        <v>1+0.135785891447644i</v>
      </c>
      <c r="AK283" s="98">
        <f t="shared" si="195"/>
        <v>1.0091767973532841</v>
      </c>
      <c r="AL283" s="98">
        <f t="shared" si="196"/>
        <v>0.13496047232437702</v>
      </c>
      <c r="AM283" s="98" t="str">
        <f t="shared" si="181"/>
        <v>1+345.772600485451i</v>
      </c>
      <c r="AN283" s="98">
        <f t="shared" si="197"/>
        <v>345.7740465195028</v>
      </c>
      <c r="AO283" s="98">
        <f t="shared" si="198"/>
        <v>1.5679042607070137</v>
      </c>
      <c r="AP283" s="168" t="str">
        <f t="shared" si="199"/>
        <v>-25.7472155092886+3.57197419116365i</v>
      </c>
      <c r="AQ283" s="98">
        <f t="shared" si="200"/>
        <v>28.297398467742738</v>
      </c>
      <c r="AR283" s="169">
        <f t="shared" si="201"/>
        <v>172.10163135381245</v>
      </c>
      <c r="AS283" s="168" t="str">
        <f t="shared" si="202"/>
        <v>0.0134379856769895+0.699928451628371i</v>
      </c>
      <c r="AT283" s="190">
        <f t="shared" si="203"/>
        <v>-3.0973265113041015</v>
      </c>
      <c r="AU283" s="169">
        <f t="shared" si="204"/>
        <v>88.900108600552656</v>
      </c>
      <c r="AV283" s="225"/>
      <c r="AX283">
        <f t="shared" si="205"/>
        <v>0</v>
      </c>
      <c r="AY283">
        <f t="shared" si="206"/>
        <v>0</v>
      </c>
    </row>
    <row r="284" spans="14:51" x14ac:dyDescent="0.2">
      <c r="N284" s="170">
        <v>66</v>
      </c>
      <c r="O284" s="199">
        <f t="shared" ref="O284:O318" si="207">10^(3+(N284/100))</f>
        <v>4570.8818961487532</v>
      </c>
      <c r="P284" s="189" t="str">
        <f t="shared" si="173"/>
        <v>771.276595744681</v>
      </c>
      <c r="Q284" s="160" t="str">
        <f t="shared" si="174"/>
        <v>1+29294.0919301497i</v>
      </c>
      <c r="R284" s="160">
        <f t="shared" si="182"/>
        <v>29294.091947217985</v>
      </c>
      <c r="S284" s="160">
        <f t="shared" si="183"/>
        <v>1.5707621902187572</v>
      </c>
      <c r="T284" s="160" t="str">
        <f t="shared" si="175"/>
        <v>1+0.0068927275129764i</v>
      </c>
      <c r="U284" s="160">
        <f t="shared" si="184"/>
        <v>1.0000237545641444</v>
      </c>
      <c r="V284" s="160">
        <f t="shared" si="185"/>
        <v>6.892618358966208E-3</v>
      </c>
      <c r="W284" s="98" t="str">
        <f t="shared" si="176"/>
        <v>1-0.0195293946200998i</v>
      </c>
      <c r="X284" s="160">
        <f t="shared" si="186"/>
        <v>1.0001906804475973</v>
      </c>
      <c r="Y284" s="160">
        <f t="shared" si="187"/>
        <v>-1.9526912368947699E-2</v>
      </c>
      <c r="Z284" s="98" t="str">
        <f t="shared" si="177"/>
        <v>0.991642815476584-0.13371409718162i</v>
      </c>
      <c r="AA284" s="160">
        <f t="shared" si="188"/>
        <v>1.0006172761208063</v>
      </c>
      <c r="AB284" s="160">
        <f t="shared" si="189"/>
        <v>-0.13403255898211963</v>
      </c>
      <c r="AC284" s="171" t="str">
        <f t="shared" si="190"/>
        <v>0.00318802674362882-0.0261243395132951i</v>
      </c>
      <c r="AD284" s="190">
        <f t="shared" si="191"/>
        <v>-31.594895287675641</v>
      </c>
      <c r="AE284" s="169">
        <f t="shared" si="192"/>
        <v>-83.042435895145786</v>
      </c>
      <c r="AF284" s="98" t="str">
        <f t="shared" si="178"/>
        <v>-0.0000119284294234592</v>
      </c>
      <c r="AG284" s="98" t="str">
        <f t="shared" si="179"/>
        <v>0.000160893491971652i</v>
      </c>
      <c r="AH284" s="98">
        <f t="shared" si="193"/>
        <v>1.6089349197165201E-4</v>
      </c>
      <c r="AI284" s="98">
        <f t="shared" si="194"/>
        <v>1.5707963267948966</v>
      </c>
      <c r="AJ284" s="98" t="str">
        <f t="shared" si="180"/>
        <v>1+0.138948751168969i</v>
      </c>
      <c r="AK284" s="98">
        <f t="shared" si="195"/>
        <v>1.0096072283078288</v>
      </c>
      <c r="AL284" s="98">
        <f t="shared" si="196"/>
        <v>0.13806475256143944</v>
      </c>
      <c r="AM284" s="98" t="str">
        <f t="shared" si="181"/>
        <v>1+353.826678999455i</v>
      </c>
      <c r="AN284" s="98">
        <f t="shared" si="197"/>
        <v>353.82809211788623</v>
      </c>
      <c r="AO284" s="98">
        <f t="shared" si="198"/>
        <v>1.5679700918137143</v>
      </c>
      <c r="AP284" s="168" t="str">
        <f t="shared" si="199"/>
        <v>-25.7252663079946+3.64863229646929i</v>
      </c>
      <c r="AQ284" s="98">
        <f t="shared" si="200"/>
        <v>28.29369294401808</v>
      </c>
      <c r="AR284" s="169">
        <f t="shared" si="201"/>
        <v>171.92754104237753</v>
      </c>
      <c r="AS284" s="168" t="str">
        <f t="shared" si="202"/>
        <v>0.0133052718952771+0.683687528438794i</v>
      </c>
      <c r="AT284" s="190">
        <f t="shared" si="203"/>
        <v>-3.3012023436575708</v>
      </c>
      <c r="AU284" s="169">
        <f t="shared" si="204"/>
        <v>88.885105147231712</v>
      </c>
      <c r="AV284" s="225"/>
      <c r="AX284">
        <f t="shared" si="205"/>
        <v>0</v>
      </c>
      <c r="AY284">
        <f t="shared" si="206"/>
        <v>0</v>
      </c>
    </row>
    <row r="285" spans="14:51" x14ac:dyDescent="0.2">
      <c r="N285" s="170">
        <v>67</v>
      </c>
      <c r="O285" s="199">
        <f t="shared" si="207"/>
        <v>4677.3514128719844</v>
      </c>
      <c r="P285" s="189" t="str">
        <f t="shared" si="173"/>
        <v>771.276595744681</v>
      </c>
      <c r="Q285" s="160" t="str">
        <f t="shared" si="174"/>
        <v>1+29976.4389873504i</v>
      </c>
      <c r="R285" s="160">
        <f t="shared" si="182"/>
        <v>29976.439004030166</v>
      </c>
      <c r="S285" s="160">
        <f t="shared" si="183"/>
        <v>1.5707629672620964</v>
      </c>
      <c r="T285" s="160" t="str">
        <f t="shared" si="175"/>
        <v>1+0.00705327976172949i</v>
      </c>
      <c r="U285" s="160">
        <f t="shared" si="184"/>
        <v>1.0000248740683391</v>
      </c>
      <c r="V285" s="160">
        <f t="shared" si="185"/>
        <v>7.0531628012574484E-3</v>
      </c>
      <c r="W285" s="98" t="str">
        <f t="shared" si="176"/>
        <v>1-0.0199842926582335i</v>
      </c>
      <c r="X285" s="160">
        <f t="shared" si="186"/>
        <v>1.0001996660432606</v>
      </c>
      <c r="Y285" s="160">
        <f t="shared" si="187"/>
        <v>-1.998163290687939E-2</v>
      </c>
      <c r="Z285" s="98" t="str">
        <f t="shared" si="177"/>
        <v>0.991248953504202-0.136828698615099i</v>
      </c>
      <c r="AA285" s="160">
        <f t="shared" si="188"/>
        <v>1.0006480802899074</v>
      </c>
      <c r="AB285" s="160">
        <f t="shared" si="189"/>
        <v>-0.13716983014645337</v>
      </c>
      <c r="AC285" s="171" t="str">
        <f t="shared" si="190"/>
        <v>0.0031879432423639-0.0255201909121229i</v>
      </c>
      <c r="AD285" s="190">
        <f t="shared" si="191"/>
        <v>-31.795074923571889</v>
      </c>
      <c r="AE285" s="169">
        <f t="shared" si="192"/>
        <v>-82.879583068259038</v>
      </c>
      <c r="AF285" s="98" t="str">
        <f t="shared" si="178"/>
        <v>-0.0000119284294234592</v>
      </c>
      <c r="AG285" s="98" t="str">
        <f t="shared" si="179"/>
        <v>0.000164641182838171i</v>
      </c>
      <c r="AH285" s="98">
        <f t="shared" si="193"/>
        <v>1.6464118283817099E-4</v>
      </c>
      <c r="AI285" s="98">
        <f t="shared" si="194"/>
        <v>1.5707963267948966</v>
      </c>
      <c r="AJ285" s="98" t="str">
        <f t="shared" si="180"/>
        <v>1+0.142185283357369i</v>
      </c>
      <c r="AK285" s="98">
        <f t="shared" si="195"/>
        <v>1.0100577482517596</v>
      </c>
      <c r="AL285" s="98">
        <f t="shared" si="196"/>
        <v>0.14123857045231322</v>
      </c>
      <c r="AM285" s="98" t="str">
        <f t="shared" si="181"/>
        <v>1+362.068361102114i</v>
      </c>
      <c r="AN285" s="98">
        <f t="shared" si="197"/>
        <v>362.06974205416668</v>
      </c>
      <c r="AO285" s="98">
        <f t="shared" si="198"/>
        <v>1.568034424445149</v>
      </c>
      <c r="AP285" s="168" t="str">
        <f t="shared" si="199"/>
        <v>-25.7023227469055+3.72694311004348i</v>
      </c>
      <c r="AQ285" s="98">
        <f t="shared" si="200"/>
        <v>28.289816317681211</v>
      </c>
      <c r="AR285" s="169">
        <f t="shared" si="201"/>
        <v>171.74938066055356</v>
      </c>
      <c r="AS285" s="168" t="str">
        <f t="shared" si="202"/>
        <v>0.0131747535728773+0.667809466488365i</v>
      </c>
      <c r="AT285" s="190">
        <f t="shared" si="203"/>
        <v>-3.5052586058906829</v>
      </c>
      <c r="AU285" s="169">
        <f t="shared" si="204"/>
        <v>88.869797592294518</v>
      </c>
      <c r="AV285" s="225"/>
      <c r="AX285">
        <f t="shared" si="205"/>
        <v>0</v>
      </c>
      <c r="AY285">
        <f t="shared" si="206"/>
        <v>0</v>
      </c>
    </row>
    <row r="286" spans="14:51" x14ac:dyDescent="0.2">
      <c r="N286" s="170">
        <v>68</v>
      </c>
      <c r="O286" s="199">
        <f t="shared" si="207"/>
        <v>4786.3009232263848</v>
      </c>
      <c r="P286" s="189" t="str">
        <f t="shared" si="173"/>
        <v>771.276595744681</v>
      </c>
      <c r="Q286" s="160" t="str">
        <f t="shared" si="174"/>
        <v>1+30674.6799492872i</v>
      </c>
      <c r="R286" s="160">
        <f t="shared" si="182"/>
        <v>30674.679965587293</v>
      </c>
      <c r="S286" s="160">
        <f t="shared" si="183"/>
        <v>1.5707637266177701</v>
      </c>
      <c r="T286" s="160" t="str">
        <f t="shared" si="175"/>
        <v>1+0.00721757175277346i</v>
      </c>
      <c r="U286" s="160">
        <f t="shared" si="184"/>
        <v>1.0000260463317976</v>
      </c>
      <c r="V286" s="160">
        <f t="shared" si="185"/>
        <v>7.2174464275460114E-3</v>
      </c>
      <c r="W286" s="98" t="str">
        <f t="shared" si="176"/>
        <v>1-0.0204497866328581i</v>
      </c>
      <c r="X286" s="160">
        <f t="shared" si="186"/>
        <v>1.0002090750304806</v>
      </c>
      <c r="Y286" s="160">
        <f t="shared" si="187"/>
        <v>-2.0446936690108993E-2</v>
      </c>
      <c r="Z286" s="98" t="str">
        <f t="shared" si="177"/>
        <v>0.990836529388929-0.140015848435726i</v>
      </c>
      <c r="AA286" s="160">
        <f t="shared" si="188"/>
        <v>1.0006805013512925</v>
      </c>
      <c r="AB286" s="160">
        <f t="shared" si="189"/>
        <v>-0.14038125799278681</v>
      </c>
      <c r="AC286" s="171" t="str">
        <f t="shared" si="190"/>
        <v>0.00318785848015371-0.0249295662641109i</v>
      </c>
      <c r="AD286" s="190">
        <f t="shared" si="191"/>
        <v>-31.995264451554057</v>
      </c>
      <c r="AE286" s="169">
        <f t="shared" si="192"/>
        <v>-82.712872498869743</v>
      </c>
      <c r="AF286" s="98" t="str">
        <f t="shared" si="178"/>
        <v>-0.0000119284294234592</v>
      </c>
      <c r="AG286" s="98" t="str">
        <f t="shared" si="179"/>
        <v>0.000168476168639115i</v>
      </c>
      <c r="AH286" s="98">
        <f t="shared" si="193"/>
        <v>1.6847616863911499E-4</v>
      </c>
      <c r="AI286" s="98">
        <f t="shared" si="194"/>
        <v>1.5707963267948966</v>
      </c>
      <c r="AJ286" s="98" t="str">
        <f t="shared" si="180"/>
        <v>1+0.145497204065049i</v>
      </c>
      <c r="AK286" s="98">
        <f t="shared" si="195"/>
        <v>1.010529285271212</v>
      </c>
      <c r="AL286" s="98">
        <f t="shared" si="196"/>
        <v>0.14448335290122188</v>
      </c>
      <c r="AM286" s="98" t="str">
        <f t="shared" si="181"/>
        <v>1+370.502016642371i</v>
      </c>
      <c r="AN286" s="98">
        <f t="shared" si="197"/>
        <v>370.50336616023316</v>
      </c>
      <c r="AO286" s="98">
        <f t="shared" si="198"/>
        <v>1.5680972927091998</v>
      </c>
      <c r="AP286" s="168" t="str">
        <f t="shared" si="199"/>
        <v>-25.6783417120329+3.80692880382268i</v>
      </c>
      <c r="AQ286" s="98">
        <f t="shared" si="200"/>
        <v>28.285760837875369</v>
      </c>
      <c r="AR286" s="169">
        <f t="shared" si="201"/>
        <v>171.56707040698839</v>
      </c>
      <c r="AS286" s="168" t="str">
        <f t="shared" si="202"/>
        <v>0.0130461644946611+0.652285871533215i</v>
      </c>
      <c r="AT286" s="190">
        <f t="shared" si="203"/>
        <v>-3.7095036136786841</v>
      </c>
      <c r="AU286" s="169">
        <f t="shared" si="204"/>
        <v>88.854197908118664</v>
      </c>
      <c r="AV286" s="225"/>
      <c r="AX286">
        <f t="shared" si="205"/>
        <v>0</v>
      </c>
      <c r="AY286">
        <f t="shared" si="206"/>
        <v>0</v>
      </c>
    </row>
    <row r="287" spans="14:51" x14ac:dyDescent="0.2">
      <c r="N287" s="170">
        <v>69</v>
      </c>
      <c r="O287" s="199">
        <f t="shared" si="207"/>
        <v>4897.7881936844633</v>
      </c>
      <c r="P287" s="189" t="str">
        <f t="shared" si="173"/>
        <v>771.276595744681</v>
      </c>
      <c r="Q287" s="160" t="str">
        <f t="shared" si="174"/>
        <v>1+31389.1850325606i</v>
      </c>
      <c r="R287" s="160">
        <f t="shared" si="182"/>
        <v>31389.185048489649</v>
      </c>
      <c r="S287" s="160">
        <f t="shared" si="183"/>
        <v>1.5707644686883984</v>
      </c>
      <c r="T287" s="160" t="str">
        <f t="shared" si="175"/>
        <v>1+0.00738569059589661i</v>
      </c>
      <c r="U287" s="160">
        <f t="shared" si="184"/>
        <v>1.000027273840858</v>
      </c>
      <c r="V287" s="160">
        <f t="shared" si="185"/>
        <v>7.3855563076937704E-3</v>
      </c>
      <c r="W287" s="98" t="str">
        <f t="shared" si="176"/>
        <v>1-0.0209261233550404i</v>
      </c>
      <c r="X287" s="160">
        <f t="shared" si="186"/>
        <v>1.0002189273547417</v>
      </c>
      <c r="Y287" s="160">
        <f t="shared" si="187"/>
        <v>-2.0923069622464683E-2</v>
      </c>
      <c r="Z287" s="98" t="str">
        <f t="shared" si="177"/>
        <v>0.990404668323922-0.143277236512523i</v>
      </c>
      <c r="AA287" s="160">
        <f t="shared" si="188"/>
        <v>1.0007146314212076</v>
      </c>
      <c r="AB287" s="160">
        <f t="shared" si="189"/>
        <v>-0.14366864581739142</v>
      </c>
      <c r="AC287" s="171" t="str">
        <f t="shared" si="190"/>
        <v>0.00318777212854363-0.0243521519099311i</v>
      </c>
      <c r="AD287" s="190">
        <f t="shared" si="191"/>
        <v>-32.195464475101858</v>
      </c>
      <c r="AE287" s="169">
        <f t="shared" si="192"/>
        <v>-82.542209989296524</v>
      </c>
      <c r="AF287" s="98" t="str">
        <f t="shared" si="178"/>
        <v>-0.0000119284294234592</v>
      </c>
      <c r="AG287" s="98" t="str">
        <f t="shared" si="179"/>
        <v>0.000172400482734717i</v>
      </c>
      <c r="AH287" s="98">
        <f t="shared" si="193"/>
        <v>1.7240048273471699E-4</v>
      </c>
      <c r="AI287" s="98">
        <f t="shared" si="194"/>
        <v>1.5707963267948966</v>
      </c>
      <c r="AJ287" s="98" t="str">
        <f t="shared" si="180"/>
        <v>1+0.148886269316207i</v>
      </c>
      <c r="AK287" s="98">
        <f t="shared" si="195"/>
        <v>1.0110228094315667</v>
      </c>
      <c r="AL287" s="98">
        <f t="shared" si="196"/>
        <v>0.14780054688768307</v>
      </c>
      <c r="AM287" s="98" t="str">
        <f t="shared" si="181"/>
        <v>1+379.132117256026i</v>
      </c>
      <c r="AN287" s="98">
        <f t="shared" si="197"/>
        <v>379.13343605521925</v>
      </c>
      <c r="AO287" s="98">
        <f t="shared" si="198"/>
        <v>1.5681587299374633</v>
      </c>
      <c r="AP287" s="168" t="str">
        <f t="shared" si="199"/>
        <v>-25.6532784022393+3.88861114919102i</v>
      </c>
      <c r="AQ287" s="98">
        <f t="shared" si="200"/>
        <v>28.281518418650702</v>
      </c>
      <c r="AR287" s="169">
        <f t="shared" si="201"/>
        <v>171.38052928562243</v>
      </c>
      <c r="AS287" s="168" t="str">
        <f t="shared" si="202"/>
        <v>0.0129192435273228+0.637108538879221i</v>
      </c>
      <c r="AT287" s="190">
        <f t="shared" si="203"/>
        <v>-3.9139460564511586</v>
      </c>
      <c r="AU287" s="169">
        <f t="shared" si="204"/>
        <v>88.838319296325892</v>
      </c>
      <c r="AV287" s="225"/>
      <c r="AX287">
        <f t="shared" si="205"/>
        <v>0</v>
      </c>
      <c r="AY287">
        <f t="shared" si="206"/>
        <v>0</v>
      </c>
    </row>
    <row r="288" spans="14:51" x14ac:dyDescent="0.2">
      <c r="N288" s="170">
        <v>70</v>
      </c>
      <c r="O288" s="199">
        <f t="shared" si="207"/>
        <v>5011.8723362727324</v>
      </c>
      <c r="P288" s="189" t="str">
        <f t="shared" si="173"/>
        <v>771.276595744681</v>
      </c>
      <c r="Q288" s="160" t="str">
        <f t="shared" si="174"/>
        <v>1+32120.3330772233i</v>
      </c>
      <c r="R288" s="160">
        <f t="shared" si="182"/>
        <v>32120.333092789759</v>
      </c>
      <c r="S288" s="160">
        <f t="shared" si="183"/>
        <v>1.5707651938674367</v>
      </c>
      <c r="T288" s="160" t="str">
        <f t="shared" si="175"/>
        <v>1+0.00755772542993488i</v>
      </c>
      <c r="U288" s="160">
        <f t="shared" si="184"/>
        <v>1.0000285591990232</v>
      </c>
      <c r="V288" s="160">
        <f t="shared" si="185"/>
        <v>7.5575815377550114E-3</v>
      </c>
      <c r="W288" s="98" t="str">
        <f t="shared" si="176"/>
        <v>1-0.0214135553848155i</v>
      </c>
      <c r="X288" s="160">
        <f t="shared" si="186"/>
        <v>1.0002292439007263</v>
      </c>
      <c r="Y288" s="160">
        <f t="shared" si="187"/>
        <v>-2.1410283291909908E-2</v>
      </c>
      <c r="Z288" s="98" t="str">
        <f t="shared" si="177"/>
        <v>0.989952454273962-0.146614592076617i</v>
      </c>
      <c r="AA288" s="160">
        <f t="shared" si="188"/>
        <v>1.0007505684898876</v>
      </c>
      <c r="AB288" s="160">
        <f t="shared" si="189"/>
        <v>-0.14703384419480076</v>
      </c>
      <c r="AC288" s="171" t="str">
        <f t="shared" si="190"/>
        <v>0.00318768384142069-0.0237876411600649i</v>
      </c>
      <c r="AD288" s="190">
        <f t="shared" si="191"/>
        <v>-32.395675639333746</v>
      </c>
      <c r="AE288" s="169">
        <f t="shared" si="192"/>
        <v>-82.36749884207299</v>
      </c>
      <c r="AF288" s="98" t="str">
        <f t="shared" si="178"/>
        <v>-0.0000119284294234592</v>
      </c>
      <c r="AG288" s="98" t="str">
        <f t="shared" si="179"/>
        <v>0.000176416205848255i</v>
      </c>
      <c r="AH288" s="98">
        <f t="shared" si="193"/>
        <v>1.7641620584825501E-4</v>
      </c>
      <c r="AI288" s="98">
        <f t="shared" si="194"/>
        <v>1.5707963267948966</v>
      </c>
      <c r="AJ288" s="98" t="str">
        <f t="shared" si="180"/>
        <v>1+0.1523542760381i</v>
      </c>
      <c r="AK288" s="98">
        <f t="shared" si="195"/>
        <v>1.0115393345921322</v>
      </c>
      <c r="AL288" s="98">
        <f t="shared" si="196"/>
        <v>0.15119161906690087</v>
      </c>
      <c r="AM288" s="98" t="str">
        <f t="shared" si="181"/>
        <v>1+387.963238736657i</v>
      </c>
      <c r="AN288" s="98">
        <f t="shared" si="197"/>
        <v>387.96452751641658</v>
      </c>
      <c r="AO288" s="98">
        <f t="shared" si="198"/>
        <v>1.568218768702915</v>
      </c>
      <c r="AP288" s="168" t="str">
        <f t="shared" si="199"/>
        <v>-25.6270862805759+3.97201144742815i</v>
      </c>
      <c r="AQ288" s="98">
        <f t="shared" si="200"/>
        <v>28.277080625903572</v>
      </c>
      <c r="AR288" s="169">
        <f t="shared" si="201"/>
        <v>171.18967512959659</v>
      </c>
      <c r="AS288" s="168" t="str">
        <f t="shared" si="202"/>
        <v>0.0127937341558052+0.622269449129267i</v>
      </c>
      <c r="AT288" s="190">
        <f t="shared" si="203"/>
        <v>-4.1185950134301654</v>
      </c>
      <c r="AU288" s="169">
        <f t="shared" si="204"/>
        <v>88.822176287523604</v>
      </c>
      <c r="AV288" s="225"/>
      <c r="AX288">
        <f t="shared" si="205"/>
        <v>0</v>
      </c>
      <c r="AY288">
        <f t="shared" si="206"/>
        <v>0</v>
      </c>
    </row>
    <row r="289" spans="14:51" x14ac:dyDescent="0.2">
      <c r="N289" s="170">
        <v>71</v>
      </c>
      <c r="O289" s="199">
        <f t="shared" si="207"/>
        <v>5128.6138399136489</v>
      </c>
      <c r="P289" s="189" t="str">
        <f t="shared" si="173"/>
        <v>771.276595744681</v>
      </c>
      <c r="Q289" s="160" t="str">
        <f t="shared" si="174"/>
        <v>1+32868.5117476462i</v>
      </c>
      <c r="R289" s="160">
        <f t="shared" si="182"/>
        <v>32868.511762858318</v>
      </c>
      <c r="S289" s="160">
        <f t="shared" si="183"/>
        <v>1.5707659025393852</v>
      </c>
      <c r="T289" s="160" t="str">
        <f t="shared" si="175"/>
        <v>1+0.00773376747003439i</v>
      </c>
      <c r="U289" s="160">
        <f t="shared" si="184"/>
        <v>1.0000299051324819</v>
      </c>
      <c r="V289" s="160">
        <f t="shared" si="185"/>
        <v>7.7336132870348077E-3</v>
      </c>
      <c r="W289" s="98" t="str">
        <f t="shared" si="176"/>
        <v>1-0.0219123411650974i</v>
      </c>
      <c r="X289" s="160">
        <f t="shared" si="186"/>
        <v>1.000240046536498</v>
      </c>
      <c r="Y289" s="160">
        <f t="shared" si="187"/>
        <v>-2.1908835099823509E-2</v>
      </c>
      <c r="Z289" s="98" t="str">
        <f t="shared" si="177"/>
        <v>0.989478928032419-0.150029684638103i</v>
      </c>
      <c r="AA289" s="160">
        <f t="shared" si="188"/>
        <v>1.0007884168458354</v>
      </c>
      <c r="AB289" s="160">
        <f t="shared" si="189"/>
        <v>-0.15047875243669503</v>
      </c>
      <c r="AC289" s="171" t="str">
        <f t="shared" si="190"/>
        <v>0.00318759325291013-0.0232357341299084i</v>
      </c>
      <c r="AD289" s="190">
        <f t="shared" si="191"/>
        <v>-32.595898634235297</v>
      </c>
      <c r="AE289" s="169">
        <f t="shared" si="192"/>
        <v>-82.188639781082344</v>
      </c>
      <c r="AF289" s="98" t="str">
        <f t="shared" si="178"/>
        <v>-0.0000119284294234592</v>
      </c>
      <c r="AG289" s="98" t="str">
        <f t="shared" si="179"/>
        <v>0.000180525467169278i</v>
      </c>
      <c r="AH289" s="98">
        <f t="shared" si="193"/>
        <v>1.8052546716927799E-4</v>
      </c>
      <c r="AI289" s="98">
        <f t="shared" si="194"/>
        <v>1.5707963267948966</v>
      </c>
      <c r="AJ289" s="98" t="str">
        <f t="shared" si="180"/>
        <v>1+0.155903063013795i</v>
      </c>
      <c r="AK289" s="98">
        <f t="shared" si="195"/>
        <v>1.0120799202914181</v>
      </c>
      <c r="AL289" s="98">
        <f t="shared" si="196"/>
        <v>0.15465805530739549</v>
      </c>
      <c r="AM289" s="98" t="str">
        <f t="shared" si="181"/>
        <v>1+397.000063461765i</v>
      </c>
      <c r="AN289" s="98">
        <f t="shared" si="197"/>
        <v>397.00132290540978</v>
      </c>
      <c r="AO289" s="98">
        <f t="shared" si="198"/>
        <v>1.5682774408371702</v>
      </c>
      <c r="AP289" s="168" t="str">
        <f t="shared" si="199"/>
        <v>-25.5997170259646+4.05715045536415i</v>
      </c>
      <c r="AQ289" s="98">
        <f t="shared" si="200"/>
        <v>28.272438663946012</v>
      </c>
      <c r="AR289" s="169">
        <f t="shared" si="201"/>
        <v>170.99442462873287</v>
      </c>
      <c r="AS289" s="168" t="str">
        <f t="shared" si="202"/>
        <v>0.0126693840375048+0.607760764033763i</v>
      </c>
      <c r="AT289" s="190">
        <f t="shared" si="203"/>
        <v>-4.3234599702892851</v>
      </c>
      <c r="AU289" s="169">
        <f t="shared" si="204"/>
        <v>88.805784847650528</v>
      </c>
      <c r="AV289" s="225"/>
      <c r="AX289">
        <f t="shared" si="205"/>
        <v>0</v>
      </c>
      <c r="AY289">
        <f t="shared" si="206"/>
        <v>0</v>
      </c>
    </row>
    <row r="290" spans="14:51" x14ac:dyDescent="0.2">
      <c r="N290" s="170">
        <v>72</v>
      </c>
      <c r="O290" s="199">
        <f t="shared" si="207"/>
        <v>5248.0746024977261</v>
      </c>
      <c r="P290" s="189" t="str">
        <f t="shared" si="173"/>
        <v>771.276595744681</v>
      </c>
      <c r="Q290" s="160" t="str">
        <f t="shared" si="174"/>
        <v>1+33634.117738064i</v>
      </c>
      <c r="R290" s="160">
        <f t="shared" si="182"/>
        <v>33634.117752929851</v>
      </c>
      <c r="S290" s="160">
        <f t="shared" si="183"/>
        <v>1.5707665950799905</v>
      </c>
      <c r="T290" s="160" t="str">
        <f t="shared" si="175"/>
        <v>1+0.00791391005601506i</v>
      </c>
      <c r="U290" s="160">
        <f t="shared" si="184"/>
        <v>1.0000313144958886</v>
      </c>
      <c r="V290" s="160">
        <f t="shared" si="185"/>
        <v>7.9137448462338715E-3</v>
      </c>
      <c r="W290" s="98" t="str">
        <f t="shared" si="176"/>
        <v>1-0.0224227451587093i</v>
      </c>
      <c r="X290" s="160">
        <f t="shared" si="186"/>
        <v>1.0002513581597641</v>
      </c>
      <c r="Y290" s="160">
        <f t="shared" si="187"/>
        <v>-2.2418988393069158E-2</v>
      </c>
      <c r="Z290" s="98" t="str">
        <f t="shared" si="177"/>
        <v>0.988983085186647-0.153524324924263i</v>
      </c>
      <c r="AA290" s="160">
        <f t="shared" si="188"/>
        <v>1.0008282875342549</v>
      </c>
      <c r="AB290" s="160">
        <f t="shared" si="189"/>
        <v>-0.15400532010792556</v>
      </c>
      <c r="AC290" s="171" t="str">
        <f t="shared" si="190"/>
        <v>0.00318749997509925-0.0226961375783453i</v>
      </c>
      <c r="AD290" s="190">
        <f t="shared" si="191"/>
        <v>-32.796134198160601</v>
      </c>
      <c r="AE290" s="169">
        <f t="shared" si="192"/>
        <v>-82.005530869515837</v>
      </c>
      <c r="AF290" s="98" t="str">
        <f t="shared" si="178"/>
        <v>-0.0000119284294234592</v>
      </c>
      <c r="AG290" s="98" t="str">
        <f t="shared" si="179"/>
        <v>0.000184730445482531i</v>
      </c>
      <c r="AH290" s="98">
        <f t="shared" si="193"/>
        <v>1.8473044548253099E-4</v>
      </c>
      <c r="AI290" s="98">
        <f t="shared" si="194"/>
        <v>1.5707963267948966</v>
      </c>
      <c r="AJ290" s="98" t="str">
        <f t="shared" si="180"/>
        <v>1+0.159534511857122i</v>
      </c>
      <c r="AK290" s="98">
        <f t="shared" si="195"/>
        <v>1.0126456737050182</v>
      </c>
      <c r="AL290" s="98">
        <f t="shared" si="196"/>
        <v>0.15820136016156525</v>
      </c>
      <c r="AM290" s="98" t="str">
        <f t="shared" si="181"/>
        <v>1+406.24738287544i</v>
      </c>
      <c r="AN290" s="98">
        <f t="shared" si="197"/>
        <v>406.24861365073525</v>
      </c>
      <c r="AO290" s="98">
        <f t="shared" si="198"/>
        <v>1.5683347774473553</v>
      </c>
      <c r="AP290" s="168" t="str">
        <f t="shared" si="199"/>
        <v>-25.5711204854515+4.14404830601477i</v>
      </c>
      <c r="AQ290" s="98">
        <f t="shared" si="200"/>
        <v>28.267583361709697</v>
      </c>
      <c r="AR290" s="169">
        <f t="shared" si="201"/>
        <v>170.79469336083591</v>
      </c>
      <c r="AS290" s="168" t="str">
        <f t="shared" si="202"/>
        <v>0.0125459445739834+0.593574822442483i</v>
      </c>
      <c r="AT290" s="190">
        <f t="shared" si="203"/>
        <v>-4.5285508364509122</v>
      </c>
      <c r="AU290" s="169">
        <f t="shared" si="204"/>
        <v>88.78916249132007</v>
      </c>
      <c r="AV290" s="225"/>
      <c r="AX290">
        <f t="shared" si="205"/>
        <v>0</v>
      </c>
      <c r="AY290">
        <f t="shared" si="206"/>
        <v>0</v>
      </c>
    </row>
    <row r="291" spans="14:51" x14ac:dyDescent="0.2">
      <c r="N291" s="170">
        <v>73</v>
      </c>
      <c r="O291" s="199">
        <f t="shared" si="207"/>
        <v>5370.3179637025269</v>
      </c>
      <c r="P291" s="189" t="str">
        <f t="shared" si="173"/>
        <v>771.276595744681</v>
      </c>
      <c r="Q291" s="160" t="str">
        <f t="shared" si="174"/>
        <v>1+34417.5569829067i</v>
      </c>
      <c r="R291" s="160">
        <f t="shared" si="182"/>
        <v>34417.556997434163</v>
      </c>
      <c r="S291" s="160">
        <f t="shared" si="183"/>
        <v>1.5707672718564472</v>
      </c>
      <c r="T291" s="160" t="str">
        <f t="shared" si="175"/>
        <v>1+0.00809824870186039i</v>
      </c>
      <c r="U291" s="160">
        <f t="shared" si="184"/>
        <v>1.0000327902784174</v>
      </c>
      <c r="V291" s="160">
        <f t="shared" si="185"/>
        <v>8.0980716767039274E-3</v>
      </c>
      <c r="W291" s="98" t="str">
        <f t="shared" si="176"/>
        <v>1-0.0229450379886044i</v>
      </c>
      <c r="X291" s="160">
        <f t="shared" si="186"/>
        <v>1.0002632027463063</v>
      </c>
      <c r="Y291" s="160">
        <f t="shared" si="187"/>
        <v>-2.2941012598901363E-2</v>
      </c>
      <c r="Z291" s="98" t="str">
        <f t="shared" si="177"/>
        <v>0.988463873987493-0.157100365839632i</v>
      </c>
      <c r="AA291" s="160">
        <f t="shared" si="188"/>
        <v>1.0008702988526077</v>
      </c>
      <c r="AB291" s="160">
        <f t="shared" si="189"/>
        <v>-0.1576155486023598</v>
      </c>
      <c r="AC291" s="171" t="str">
        <f t="shared" si="190"/>
        <v>0.00318740359557125-0.0221685647496938i</v>
      </c>
      <c r="AD291" s="190">
        <f t="shared" si="191"/>
        <v>-32.996383121631268</v>
      </c>
      <c r="AE291" s="169">
        <f t="shared" si="192"/>
        <v>-81.818067424502445</v>
      </c>
      <c r="AF291" s="98" t="str">
        <f t="shared" si="178"/>
        <v>-0.0000119284294234592</v>
      </c>
      <c r="AG291" s="98" t="str">
        <f t="shared" si="179"/>
        <v>0.000189033370323176i</v>
      </c>
      <c r="AH291" s="98">
        <f t="shared" si="193"/>
        <v>1.8903337032317601E-4</v>
      </c>
      <c r="AI291" s="98">
        <f t="shared" si="194"/>
        <v>1.5707963267948966</v>
      </c>
      <c r="AJ291" s="98" t="str">
        <f t="shared" si="180"/>
        <v>1+0.163250548010323i</v>
      </c>
      <c r="AK291" s="98">
        <f t="shared" si="195"/>
        <v>1.0132377516780899</v>
      </c>
      <c r="AL291" s="98">
        <f t="shared" si="196"/>
        <v>0.16182305626464041</v>
      </c>
      <c r="AM291" s="98" t="str">
        <f t="shared" si="181"/>
        <v>1+415.710100028833i</v>
      </c>
      <c r="AN291" s="98">
        <f t="shared" si="197"/>
        <v>415.71130278834409</v>
      </c>
      <c r="AO291" s="98">
        <f t="shared" si="198"/>
        <v>1.5683908089325902</v>
      </c>
      <c r="AP291" s="168" t="str">
        <f t="shared" si="199"/>
        <v>-25.5412446272744+4.23272442396805i</v>
      </c>
      <c r="AQ291" s="98">
        <f t="shared" si="200"/>
        <v>28.262505158587651</v>
      </c>
      <c r="AR291" s="169">
        <f t="shared" si="201"/>
        <v>170.59039582707459</v>
      </c>
      <c r="AS291" s="168" t="str">
        <f t="shared" si="202"/>
        <v>0.0124231705000068+0.579704136355519i</v>
      </c>
      <c r="AT291" s="190">
        <f t="shared" si="203"/>
        <v>-4.7338779630436276</v>
      </c>
      <c r="AU291" s="169">
        <f t="shared" si="204"/>
        <v>88.772328402572143</v>
      </c>
      <c r="AV291" s="225"/>
      <c r="AX291">
        <f t="shared" si="205"/>
        <v>0</v>
      </c>
      <c r="AY291">
        <f t="shared" si="206"/>
        <v>0</v>
      </c>
    </row>
    <row r="292" spans="14:51" x14ac:dyDescent="0.2">
      <c r="N292" s="170">
        <v>74</v>
      </c>
      <c r="O292" s="199">
        <f t="shared" si="207"/>
        <v>5495.4087385762541</v>
      </c>
      <c r="P292" s="189" t="str">
        <f t="shared" si="173"/>
        <v>771.276595744681</v>
      </c>
      <c r="Q292" s="160" t="str">
        <f t="shared" si="174"/>
        <v>1+35219.244872032i</v>
      </c>
      <c r="R292" s="160">
        <f t="shared" si="182"/>
        <v>35219.244886228786</v>
      </c>
      <c r="S292" s="160">
        <f t="shared" si="183"/>
        <v>1.5707679332275908</v>
      </c>
      <c r="T292" s="160" t="str">
        <f t="shared" si="175"/>
        <v>1+0.00828688114636046i</v>
      </c>
      <c r="U292" s="160">
        <f t="shared" si="184"/>
        <v>1.0000343356100998</v>
      </c>
      <c r="V292" s="160">
        <f t="shared" si="185"/>
        <v>8.2866914608395407E-3</v>
      </c>
      <c r="W292" s="98" t="str">
        <f t="shared" si="176"/>
        <v>1-0.0234794965813546i</v>
      </c>
      <c r="X292" s="160">
        <f t="shared" si="186"/>
        <v>1.0002756054006885</v>
      </c>
      <c r="Y292" s="160">
        <f t="shared" si="187"/>
        <v>-2.3475183362760235E-2</v>
      </c>
      <c r="Z292" s="98" t="str">
        <f t="shared" si="177"/>
        <v>0.987920193118392-0.160759703448438i</v>
      </c>
      <c r="AA292" s="160">
        <f t="shared" si="188"/>
        <v>1.0009145768865146</v>
      </c>
      <c r="AB292" s="160">
        <f t="shared" si="189"/>
        <v>-0.16131149278137444</v>
      </c>
      <c r="AC292" s="171" t="str">
        <f t="shared" si="190"/>
        <v>0.00318730367473096-0.0216527352189371i</v>
      </c>
      <c r="AD292" s="190">
        <f t="shared" si="191"/>
        <v>-33.19664625145932</v>
      </c>
      <c r="AE292" s="169">
        <f t="shared" si="192"/>
        <v>-81.626141928248956</v>
      </c>
      <c r="AF292" s="98" t="str">
        <f t="shared" si="178"/>
        <v>-0.0000119284294234592</v>
      </c>
      <c r="AG292" s="98" t="str">
        <f t="shared" si="179"/>
        <v>0.000193436523158919i</v>
      </c>
      <c r="AH292" s="98">
        <f t="shared" si="193"/>
        <v>1.93436523158919E-4</v>
      </c>
      <c r="AI292" s="98">
        <f t="shared" si="194"/>
        <v>1.5707963267948966</v>
      </c>
      <c r="AJ292" s="98" t="str">
        <f t="shared" si="180"/>
        <v>1+0.167053141764957i</v>
      </c>
      <c r="AK292" s="98">
        <f t="shared" si="195"/>
        <v>1.0138573628344092</v>
      </c>
      <c r="AL292" s="98">
        <f t="shared" si="196"/>
        <v>0.16552468365734233</v>
      </c>
      <c r="AM292" s="98" t="str">
        <f t="shared" si="181"/>
        <v>1+425.393232179837i</v>
      </c>
      <c r="AN292" s="98">
        <f t="shared" si="197"/>
        <v>425.39440756127567</v>
      </c>
      <c r="AO292" s="98">
        <f t="shared" si="198"/>
        <v>1.5684455650001026</v>
      </c>
      <c r="AP292" s="168" t="str">
        <f t="shared" si="199"/>
        <v>-25.5100354950277+4.32319743529473i</v>
      </c>
      <c r="AQ292" s="98">
        <f t="shared" si="200"/>
        <v>28.257194089923789</v>
      </c>
      <c r="AR292" s="169">
        <f t="shared" si="201"/>
        <v>170.38144549171392</v>
      </c>
      <c r="AS292" s="168" t="str">
        <f t="shared" si="202"/>
        <v>0.0123008194898057+0.566141387071624i</v>
      </c>
      <c r="AT292" s="190">
        <f t="shared" si="203"/>
        <v>-4.939452161535538</v>
      </c>
      <c r="AU292" s="169">
        <f t="shared" si="204"/>
        <v>88.755303563464977</v>
      </c>
      <c r="AV292" s="225"/>
      <c r="AX292">
        <f t="shared" si="205"/>
        <v>0</v>
      </c>
      <c r="AY292">
        <f t="shared" si="206"/>
        <v>0</v>
      </c>
    </row>
    <row r="293" spans="14:51" x14ac:dyDescent="0.2">
      <c r="N293" s="170">
        <v>75</v>
      </c>
      <c r="O293" s="199">
        <f t="shared" si="207"/>
        <v>5623.4132519034993</v>
      </c>
      <c r="P293" s="189" t="str">
        <f t="shared" si="173"/>
        <v>771.276595744681</v>
      </c>
      <c r="Q293" s="160" t="str">
        <f t="shared" si="174"/>
        <v>1+36039.6064709702i</v>
      </c>
      <c r="R293" s="160">
        <f t="shared" si="182"/>
        <v>36039.606484843825</v>
      </c>
      <c r="S293" s="160">
        <f t="shared" si="183"/>
        <v>1.5707685795440893</v>
      </c>
      <c r="T293" s="160" t="str">
        <f t="shared" si="175"/>
        <v>1+0.00847990740493415i</v>
      </c>
      <c r="U293" s="160">
        <f t="shared" si="184"/>
        <v>1.0000359537684613</v>
      </c>
      <c r="V293" s="160">
        <f t="shared" si="185"/>
        <v>8.4797041536312252E-3</v>
      </c>
      <c r="W293" s="98" t="str">
        <f t="shared" si="176"/>
        <v>1-0.0240264043139801i</v>
      </c>
      <c r="X293" s="160">
        <f t="shared" si="186"/>
        <v>1.0002885924093401</v>
      </c>
      <c r="Y293" s="160">
        <f t="shared" si="187"/>
        <v>-2.4021782689001042E-2</v>
      </c>
      <c r="Z293" s="98" t="str">
        <f t="shared" si="177"/>
        <v>0.987350889359326-0.164504277979919i</v>
      </c>
      <c r="AA293" s="160">
        <f t="shared" si="188"/>
        <v>1.0009612560895385</v>
      </c>
      <c r="AB293" s="160">
        <f t="shared" si="189"/>
        <v>-0.16509526267791133</v>
      </c>
      <c r="AC293" s="171" t="str">
        <f t="shared" si="190"/>
        <v>0.00318719974290134-0.021148374740147i</v>
      </c>
      <c r="AD293" s="190">
        <f t="shared" si="191"/>
        <v>-33.396924495223359</v>
      </c>
      <c r="AE293" s="169">
        <f t="shared" si="192"/>
        <v>-81.42964393552522</v>
      </c>
      <c r="AF293" s="98" t="str">
        <f t="shared" si="178"/>
        <v>-0.0000119284294234592</v>
      </c>
      <c r="AG293" s="98" t="str">
        <f t="shared" si="179"/>
        <v>0.000197942238599676i</v>
      </c>
      <c r="AH293" s="98">
        <f t="shared" si="193"/>
        <v>1.9794223859967601E-4</v>
      </c>
      <c r="AI293" s="98">
        <f t="shared" si="194"/>
        <v>1.5707963267948966</v>
      </c>
      <c r="AJ293" s="98" t="str">
        <f t="shared" si="180"/>
        <v>1+0.170944309306563i</v>
      </c>
      <c r="AK293" s="98">
        <f t="shared" si="195"/>
        <v>1.014505769763927</v>
      </c>
      <c r="AL293" s="98">
        <f t="shared" si="196"/>
        <v>0.16930779902729029</v>
      </c>
      <c r="AM293" s="98" t="str">
        <f t="shared" si="181"/>
        <v>1+435.301913453287i</v>
      </c>
      <c r="AN293" s="98">
        <f t="shared" si="197"/>
        <v>435.3030620798491</v>
      </c>
      <c r="AO293" s="98">
        <f t="shared" si="198"/>
        <v>1.5684990746809697</v>
      </c>
      <c r="AP293" s="168" t="str">
        <f t="shared" si="199"/>
        <v>-25.4774371632196+4.41548507175256i</v>
      </c>
      <c r="AQ293" s="98">
        <f t="shared" si="200"/>
        <v>28.251639772156977</v>
      </c>
      <c r="AR293" s="169">
        <f t="shared" si="201"/>
        <v>170.16775482648163</v>
      </c>
      <c r="AS293" s="168" t="str">
        <f t="shared" si="202"/>
        <v>0.0121786517805494+0.55287942143179i</v>
      </c>
      <c r="AT293" s="190">
        <f t="shared" si="203"/>
        <v>-5.1452847230663874</v>
      </c>
      <c r="AU293" s="169">
        <f t="shared" si="204"/>
        <v>88.73811089095642</v>
      </c>
      <c r="AV293" s="225"/>
      <c r="AX293">
        <f t="shared" si="205"/>
        <v>0</v>
      </c>
      <c r="AY293">
        <f t="shared" si="206"/>
        <v>0</v>
      </c>
    </row>
    <row r="294" spans="14:51" x14ac:dyDescent="0.2">
      <c r="N294" s="170">
        <v>76</v>
      </c>
      <c r="O294" s="199">
        <f t="shared" si="207"/>
        <v>5754.399373371567</v>
      </c>
      <c r="P294" s="189" t="str">
        <f t="shared" si="173"/>
        <v>771.276595744681</v>
      </c>
      <c r="Q294" s="160" t="str">
        <f t="shared" si="174"/>
        <v>1+36879.0767462998i</v>
      </c>
      <c r="R294" s="160">
        <f t="shared" si="182"/>
        <v>36879.07675985762</v>
      </c>
      <c r="S294" s="160">
        <f t="shared" si="183"/>
        <v>1.5707692111486282</v>
      </c>
      <c r="T294" s="160" t="str">
        <f t="shared" si="175"/>
        <v>1+0.00867742982265878i</v>
      </c>
      <c r="U294" s="160">
        <f t="shared" si="184"/>
        <v>1.0000376481854707</v>
      </c>
      <c r="V294" s="160">
        <f t="shared" si="185"/>
        <v>8.6772120354066968E-3</v>
      </c>
      <c r="W294" s="98" t="str">
        <f t="shared" si="176"/>
        <v>1-0.0245860511641998i</v>
      </c>
      <c r="X294" s="160">
        <f t="shared" si="186"/>
        <v>1.0003021912961345</v>
      </c>
      <c r="Y294" s="160">
        <f t="shared" si="187"/>
        <v>-2.4581099084609471E-2</v>
      </c>
      <c r="Z294" s="98" t="str">
        <f t="shared" si="177"/>
        <v>0.986754755140696-0.168336074857056i</v>
      </c>
      <c r="AA294" s="160">
        <f t="shared" si="188"/>
        <v>1.0010104799107025</v>
      </c>
      <c r="AB294" s="160">
        <f t="shared" si="189"/>
        <v>-0.16896902526916122</v>
      </c>
      <c r="AC294" s="171" t="str">
        <f t="shared" si="190"/>
        <v>0.00318709129716872-0.0206552150980136i</v>
      </c>
      <c r="AD294" s="190">
        <f t="shared" si="191"/>
        <v>-33.597218826129229</v>
      </c>
      <c r="AE294" s="169">
        <f t="shared" si="192"/>
        <v>-81.228459977319829</v>
      </c>
      <c r="AF294" s="98" t="str">
        <f t="shared" si="178"/>
        <v>-0.0000119284294234592</v>
      </c>
      <c r="AG294" s="98" t="str">
        <f t="shared" si="179"/>
        <v>0.000202552905635413i</v>
      </c>
      <c r="AH294" s="98">
        <f t="shared" si="193"/>
        <v>2.0255290563541301E-4</v>
      </c>
      <c r="AI294" s="98">
        <f t="shared" si="194"/>
        <v>1.5707963267948966</v>
      </c>
      <c r="AJ294" s="98" t="str">
        <f t="shared" si="180"/>
        <v>1+0.17492611378368i</v>
      </c>
      <c r="AK294" s="98">
        <f t="shared" si="195"/>
        <v>1.0151842912907296</v>
      </c>
      <c r="AL294" s="98">
        <f t="shared" si="196"/>
        <v>0.17317397486408409</v>
      </c>
      <c r="AM294" s="98" t="str">
        <f t="shared" si="181"/>
        <v>1+445.441397563151i</v>
      </c>
      <c r="AN294" s="98">
        <f t="shared" si="197"/>
        <v>445.44252004384708</v>
      </c>
      <c r="AO294" s="98">
        <f t="shared" si="198"/>
        <v>1.5685513663455066</v>
      </c>
      <c r="AP294" s="168" t="str">
        <f t="shared" si="199"/>
        <v>-25.4433916945597+4.50960406906157i</v>
      </c>
      <c r="AQ294" s="98">
        <f t="shared" si="200"/>
        <v>28.245831387633508</v>
      </c>
      <c r="AR294" s="169">
        <f t="shared" si="201"/>
        <v>169.9492353598595</v>
      </c>
      <c r="AS294" s="168" t="str">
        <f t="shared" si="202"/>
        <v>0.012056429813158+0.539911248156326i</v>
      </c>
      <c r="AT294" s="190">
        <f t="shared" si="203"/>
        <v>-5.3513874384957285</v>
      </c>
      <c r="AU294" s="169">
        <f t="shared" si="204"/>
        <v>88.720775382539657</v>
      </c>
      <c r="AV294" s="225"/>
      <c r="AX294">
        <f t="shared" si="205"/>
        <v>0</v>
      </c>
      <c r="AY294">
        <f t="shared" si="206"/>
        <v>0</v>
      </c>
    </row>
    <row r="295" spans="14:51" x14ac:dyDescent="0.2">
      <c r="N295" s="170">
        <v>77</v>
      </c>
      <c r="O295" s="199">
        <f t="shared" si="207"/>
        <v>5888.4365535558973</v>
      </c>
      <c r="P295" s="189" t="str">
        <f t="shared" si="173"/>
        <v>771.276595744681</v>
      </c>
      <c r="Q295" s="160" t="str">
        <f t="shared" si="174"/>
        <v>1+37738.1007962728i</v>
      </c>
      <c r="R295" s="160">
        <f t="shared" si="182"/>
        <v>37738.10080952201</v>
      </c>
      <c r="S295" s="160">
        <f t="shared" si="183"/>
        <v>1.5707698283760927</v>
      </c>
      <c r="T295" s="160" t="str">
        <f t="shared" si="175"/>
        <v>1+0.00887955312853478i</v>
      </c>
      <c r="U295" s="160">
        <f t="shared" si="184"/>
        <v>1.0000394224548161</v>
      </c>
      <c r="V295" s="160">
        <f t="shared" si="185"/>
        <v>8.8793197657865853E-3</v>
      </c>
      <c r="W295" s="98" t="str">
        <f t="shared" si="176"/>
        <v>1-0.0251587338641818i</v>
      </c>
      <c r="X295" s="160">
        <f t="shared" si="186"/>
        <v>1.0003164308805732</v>
      </c>
      <c r="Y295" s="160">
        <f t="shared" si="187"/>
        <v>-2.5153427705951026E-2</v>
      </c>
      <c r="Z295" s="98" t="str">
        <f t="shared" si="177"/>
        <v>0.986130525981899-0.172257125749274i</v>
      </c>
      <c r="AA295" s="160">
        <f t="shared" si="188"/>
        <v>1.0010624014739231</v>
      </c>
      <c r="AB295" s="160">
        <f t="shared" si="189"/>
        <v>-0.1729350063210715</v>
      </c>
      <c r="AC295" s="171" t="str">
        <f t="shared" si="190"/>
        <v>0.00318697779795247-0.0201729939623931i</v>
      </c>
      <c r="AD295" s="190">
        <f t="shared" si="191"/>
        <v>-33.797530288290446</v>
      </c>
      <c r="AE295" s="169">
        <f t="shared" si="192"/>
        <v>-81.022473460484903</v>
      </c>
      <c r="AF295" s="98" t="str">
        <f t="shared" si="178"/>
        <v>-0.0000119284294234592</v>
      </c>
      <c r="AG295" s="98" t="str">
        <f t="shared" si="179"/>
        <v>0.000207270968902823i</v>
      </c>
      <c r="AH295" s="98">
        <f t="shared" si="193"/>
        <v>2.07270968902823E-4</v>
      </c>
      <c r="AI295" s="98">
        <f t="shared" si="194"/>
        <v>1.5707963267948966</v>
      </c>
      <c r="AJ295" s="98" t="str">
        <f t="shared" si="180"/>
        <v>1+0.179000666401746i</v>
      </c>
      <c r="AK295" s="98">
        <f t="shared" si="195"/>
        <v>1.0158943048232278</v>
      </c>
      <c r="AL295" s="98">
        <f t="shared" si="196"/>
        <v>0.1771247985227051</v>
      </c>
      <c r="AM295" s="98" t="str">
        <f t="shared" si="181"/>
        <v>1+455.817060598119i</v>
      </c>
      <c r="AN295" s="98">
        <f t="shared" si="197"/>
        <v>455.81815752809729</v>
      </c>
      <c r="AO295" s="98">
        <f t="shared" si="198"/>
        <v>1.568602467718301</v>
      </c>
      <c r="AP295" s="168" t="str">
        <f t="shared" si="199"/>
        <v>-25.407839099338+4.6055700590277i</v>
      </c>
      <c r="AQ295" s="98">
        <f t="shared" si="200"/>
        <v>28.239757669101397</v>
      </c>
      <c r="AR295" s="169">
        <f t="shared" si="201"/>
        <v>169.72579773160859</v>
      </c>
      <c r="AS295" s="168" t="str">
        <f t="shared" si="202"/>
        <v>0.0119339178906054+0.527230034273437i</v>
      </c>
      <c r="AT295" s="190">
        <f t="shared" si="203"/>
        <v>-5.5577726191890449</v>
      </c>
      <c r="AU295" s="169">
        <f t="shared" si="204"/>
        <v>88.703324271123677</v>
      </c>
      <c r="AV295" s="225"/>
      <c r="AX295">
        <f t="shared" si="205"/>
        <v>0</v>
      </c>
      <c r="AY295">
        <f t="shared" si="206"/>
        <v>0</v>
      </c>
    </row>
    <row r="296" spans="14:51" x14ac:dyDescent="0.2">
      <c r="N296" s="170">
        <v>78</v>
      </c>
      <c r="O296" s="199">
        <f t="shared" si="207"/>
        <v>6025.595860743585</v>
      </c>
      <c r="P296" s="189" t="str">
        <f t="shared" si="173"/>
        <v>771.276595744681</v>
      </c>
      <c r="Q296" s="160" t="str">
        <f t="shared" si="174"/>
        <v>1+38617.1340868107i</v>
      </c>
      <c r="R296" s="160">
        <f t="shared" si="182"/>
        <v>38617.134099758325</v>
      </c>
      <c r="S296" s="160">
        <f t="shared" si="183"/>
        <v>1.5707704315537447</v>
      </c>
      <c r="T296" s="160" t="str">
        <f t="shared" si="175"/>
        <v>1+0.00908638449101428i</v>
      </c>
      <c r="U296" s="160">
        <f t="shared" si="184"/>
        <v>1.000041280339526</v>
      </c>
      <c r="V296" s="160">
        <f t="shared" si="185"/>
        <v>9.0861344388819335E-3</v>
      </c>
      <c r="W296" s="98" t="str">
        <f t="shared" si="176"/>
        <v>1-0.0257447560578738i</v>
      </c>
      <c r="X296" s="160">
        <f t="shared" si="186"/>
        <v>1.0003313413386985</v>
      </c>
      <c r="Y296" s="160">
        <f t="shared" si="187"/>
        <v>-2.5739070508601115E-2</v>
      </c>
      <c r="Z296" s="98" t="str">
        <f t="shared" si="177"/>
        <v>0.985476877809196-0.176269509649657i</v>
      </c>
      <c r="AA296" s="160">
        <f t="shared" si="188"/>
        <v>1.0011171843139501</v>
      </c>
      <c r="AB296" s="160">
        <f t="shared" si="189"/>
        <v>-0.17699549230797812</v>
      </c>
      <c r="AC296" s="171" t="str">
        <f t="shared" si="190"/>
        <v>0.0031868586652728-0.019701454745792i</v>
      </c>
      <c r="AD296" s="190">
        <f t="shared" si="191"/>
        <v>-33.997860002464733</v>
      </c>
      <c r="AE296" s="169">
        <f t="shared" si="192"/>
        <v>-80.811564563181236</v>
      </c>
      <c r="AF296" s="98" t="str">
        <f t="shared" si="178"/>
        <v>-0.0000119284294234592</v>
      </c>
      <c r="AG296" s="98" t="str">
        <f t="shared" si="179"/>
        <v>0.000212098929981501i</v>
      </c>
      <c r="AH296" s="98">
        <f t="shared" si="193"/>
        <v>2.1209892998150099E-4</v>
      </c>
      <c r="AI296" s="98">
        <f t="shared" si="194"/>
        <v>1.5707963267948966</v>
      </c>
      <c r="AJ296" s="98" t="str">
        <f t="shared" si="180"/>
        <v>1+0.183170127542491i</v>
      </c>
      <c r="AK296" s="98">
        <f t="shared" si="195"/>
        <v>1.0166372487883435</v>
      </c>
      <c r="AL296" s="98">
        <f t="shared" si="196"/>
        <v>0.18116187118976665</v>
      </c>
      <c r="AM296" s="98" t="str">
        <f t="shared" si="181"/>
        <v>1+466.434403872067i</v>
      </c>
      <c r="AN296" s="98">
        <f t="shared" si="197"/>
        <v>466.4354758329286</v>
      </c>
      <c r="AO296" s="98">
        <f t="shared" si="198"/>
        <v>1.5686524058929094</v>
      </c>
      <c r="AP296" s="168" t="str">
        <f t="shared" si="199"/>
        <v>-25.370717297293+4.70339745530292i</v>
      </c>
      <c r="AQ296" s="98">
        <f t="shared" si="200"/>
        <v>28.233406883904159</v>
      </c>
      <c r="AR296" s="169">
        <f t="shared" si="201"/>
        <v>169.49735175283996</v>
      </c>
      <c r="AS296" s="168" t="str">
        <f t="shared" si="202"/>
        <v>0.011810881854059+0.514829101637555i</v>
      </c>
      <c r="AT296" s="190">
        <f t="shared" si="203"/>
        <v>-5.7644531185605672</v>
      </c>
      <c r="AU296" s="169">
        <f t="shared" si="204"/>
        <v>88.685787189658754</v>
      </c>
      <c r="AV296" s="225"/>
      <c r="AX296">
        <f t="shared" si="205"/>
        <v>0</v>
      </c>
      <c r="AY296">
        <f t="shared" si="206"/>
        <v>0</v>
      </c>
    </row>
    <row r="297" spans="14:51" x14ac:dyDescent="0.2">
      <c r="N297" s="170">
        <v>79</v>
      </c>
      <c r="O297" s="199">
        <f t="shared" si="207"/>
        <v>6165.9500186148289</v>
      </c>
      <c r="P297" s="189" t="str">
        <f t="shared" si="173"/>
        <v>771.276595744681</v>
      </c>
      <c r="Q297" s="160" t="str">
        <f t="shared" si="174"/>
        <v>1+39516.6426929997i</v>
      </c>
      <c r="R297" s="160">
        <f t="shared" si="182"/>
        <v>39516.642705652594</v>
      </c>
      <c r="S297" s="160">
        <f t="shared" si="183"/>
        <v>1.570771021001397</v>
      </c>
      <c r="T297" s="160" t="str">
        <f t="shared" si="175"/>
        <v>1+0.00929803357482345i</v>
      </c>
      <c r="U297" s="160">
        <f t="shared" si="184"/>
        <v>1.0000432257799452</v>
      </c>
      <c r="V297" s="160">
        <f t="shared" si="185"/>
        <v>9.2977656397618107E-3</v>
      </c>
      <c r="W297" s="98" t="str">
        <f t="shared" si="176"/>
        <v>1-0.0263444284619998i</v>
      </c>
      <c r="X297" s="160">
        <f t="shared" si="186"/>
        <v>1.000346954266863</v>
      </c>
      <c r="Y297" s="160">
        <f t="shared" si="187"/>
        <v>-2.6338336400306781E-2</v>
      </c>
      <c r="Z297" s="98" t="str">
        <f t="shared" si="177"/>
        <v>0.984792424147177-0.180375353977258i</v>
      </c>
      <c r="AA297" s="160">
        <f t="shared" si="188"/>
        <v>1.0011750031738182</v>
      </c>
      <c r="AB297" s="160">
        <f t="shared" si="189"/>
        <v>-0.18115283241081284</v>
      </c>
      <c r="AC297" s="171" t="str">
        <f t="shared" si="190"/>
        <v>0.00318673327468701-0.0192403464636996i</v>
      </c>
      <c r="AD297" s="190">
        <f t="shared" si="191"/>
        <v>-34.198209172290007</v>
      </c>
      <c r="AE297" s="169">
        <f t="shared" si="192"/>
        <v>-80.595610125928232</v>
      </c>
      <c r="AF297" s="98" t="str">
        <f t="shared" si="178"/>
        <v>-0.0000119284294234592</v>
      </c>
      <c r="AG297" s="98" t="str">
        <f t="shared" si="179"/>
        <v>0.000217039348720316i</v>
      </c>
      <c r="AH297" s="98">
        <f t="shared" si="193"/>
        <v>2.17039348720316E-4</v>
      </c>
      <c r="AI297" s="98">
        <f t="shared" si="194"/>
        <v>1.5707963267948966</v>
      </c>
      <c r="AJ297" s="98" t="str">
        <f t="shared" si="180"/>
        <v>1+0.187436707909404i</v>
      </c>
      <c r="AK297" s="98">
        <f t="shared" si="195"/>
        <v>1.017414625151376</v>
      </c>
      <c r="AL297" s="98">
        <f t="shared" si="196"/>
        <v>0.18528680674691433</v>
      </c>
      <c r="AM297" s="98" t="str">
        <f t="shared" si="181"/>
        <v>1+477.299056840937i</v>
      </c>
      <c r="AN297" s="98">
        <f t="shared" si="197"/>
        <v>477.30010440104456</v>
      </c>
      <c r="AO297" s="98">
        <f t="shared" si="198"/>
        <v>1.5687012073462159</v>
      </c>
      <c r="AP297" s="168" t="str">
        <f t="shared" si="199"/>
        <v>-25.3319620824038+4.80309933257675i</v>
      </c>
      <c r="AQ297" s="98">
        <f t="shared" si="200"/>
        <v>28.226766817895435</v>
      </c>
      <c r="AR297" s="169">
        <f t="shared" si="201"/>
        <v>169.26380647196052</v>
      </c>
      <c r="AS297" s="168" t="str">
        <f t="shared" si="202"/>
        <v>0.0116870887772352+0.5027019235355i</v>
      </c>
      <c r="AT297" s="190">
        <f t="shared" si="203"/>
        <v>-5.9714423543945614</v>
      </c>
      <c r="AU297" s="169">
        <f t="shared" si="204"/>
        <v>88.668196346032289</v>
      </c>
      <c r="AV297" s="225"/>
      <c r="AX297">
        <f t="shared" si="205"/>
        <v>0</v>
      </c>
      <c r="AY297">
        <f t="shared" si="206"/>
        <v>0</v>
      </c>
    </row>
    <row r="298" spans="14:51" x14ac:dyDescent="0.2">
      <c r="N298" s="170">
        <v>80</v>
      </c>
      <c r="O298" s="199">
        <f t="shared" si="207"/>
        <v>6309.5734448019384</v>
      </c>
      <c r="P298" s="189" t="str">
        <f t="shared" si="173"/>
        <v>771.276595744681</v>
      </c>
      <c r="Q298" s="160" t="str">
        <f t="shared" si="174"/>
        <v>1+40437.103546209i</v>
      </c>
      <c r="R298" s="160">
        <f t="shared" si="182"/>
        <v>40437.103558573879</v>
      </c>
      <c r="S298" s="160">
        <f t="shared" si="183"/>
        <v>1.5707715970315828</v>
      </c>
      <c r="T298" s="160" t="str">
        <f t="shared" si="175"/>
        <v>1+0.00951461259910799i</v>
      </c>
      <c r="U298" s="160">
        <f t="shared" si="184"/>
        <v>1.0000452629020904</v>
      </c>
      <c r="V298" s="160">
        <f t="shared" si="185"/>
        <v>9.5143255022186943E-3</v>
      </c>
      <c r="W298" s="98" t="str">
        <f t="shared" si="176"/>
        <v>1-0.026958069030806i</v>
      </c>
      <c r="X298" s="160">
        <f t="shared" si="186"/>
        <v>1.0003633027484913</v>
      </c>
      <c r="Y298" s="160">
        <f t="shared" si="187"/>
        <v>-2.6951541397124891E-2</v>
      </c>
      <c r="Z298" s="98" t="str">
        <f t="shared" si="177"/>
        <v>0.98407571317786-0.184576835705089i</v>
      </c>
      <c r="AA298" s="160">
        <f t="shared" si="188"/>
        <v>1.0012360448692492</v>
      </c>
      <c r="AB298" s="160">
        <f t="shared" si="189"/>
        <v>-0.18540944059745443</v>
      </c>
      <c r="AC298" s="171" t="str">
        <f t="shared" si="190"/>
        <v>0.00318660095286372-0.0187894235976933i</v>
      </c>
      <c r="AD298" s="190">
        <f t="shared" si="191"/>
        <v>-34.398579091062182</v>
      </c>
      <c r="AE298" s="169">
        <f t="shared" si="192"/>
        <v>-80.374483538054619</v>
      </c>
      <c r="AF298" s="98" t="str">
        <f t="shared" si="178"/>
        <v>-0.0000119284294234592</v>
      </c>
      <c r="AG298" s="98" t="str">
        <f t="shared" si="179"/>
        <v>0.000222094844594679i</v>
      </c>
      <c r="AH298" s="98">
        <f t="shared" si="193"/>
        <v>2.2209484459467899E-4</v>
      </c>
      <c r="AI298" s="98">
        <f t="shared" si="194"/>
        <v>1.5707963267948966</v>
      </c>
      <c r="AJ298" s="98" t="str">
        <f t="shared" si="180"/>
        <v>1+0.191802669699867i</v>
      </c>
      <c r="AK298" s="98">
        <f t="shared" si="195"/>
        <v>1.0182280020231207</v>
      </c>
      <c r="AL298" s="98">
        <f t="shared" si="196"/>
        <v>0.18950123052550114</v>
      </c>
      <c r="AM298" s="98" t="str">
        <f t="shared" si="181"/>
        <v>1+488.416780087544i</v>
      </c>
      <c r="AN298" s="98">
        <f t="shared" si="197"/>
        <v>488.41780380232279</v>
      </c>
      <c r="AO298" s="98">
        <f t="shared" si="198"/>
        <v>1.5687488979524666</v>
      </c>
      <c r="AP298" s="168" t="str">
        <f t="shared" si="199"/>
        <v>-25.2915070910712+4.9046872990071i</v>
      </c>
      <c r="AQ298" s="98">
        <f t="shared" si="200"/>
        <v>28.219824759097293</v>
      </c>
      <c r="AR298" s="169">
        <f t="shared" si="201"/>
        <v>169.02507024682851</v>
      </c>
      <c r="AS298" s="168" t="str">
        <f t="shared" si="202"/>
        <v>0.0115623066795036+0.490842121378715i</v>
      </c>
      <c r="AT298" s="190">
        <f t="shared" si="203"/>
        <v>-6.1787543319648917</v>
      </c>
      <c r="AU298" s="169">
        <f t="shared" si="204"/>
        <v>88.650586708773915</v>
      </c>
      <c r="AV298" s="225"/>
      <c r="AX298">
        <f t="shared" si="205"/>
        <v>0</v>
      </c>
      <c r="AY298">
        <f t="shared" si="206"/>
        <v>0</v>
      </c>
    </row>
    <row r="299" spans="14:51" x14ac:dyDescent="0.2">
      <c r="N299" s="170">
        <v>81</v>
      </c>
      <c r="O299" s="199">
        <f t="shared" si="207"/>
        <v>6456.5422903465615</v>
      </c>
      <c r="P299" s="189" t="str">
        <f t="shared" si="173"/>
        <v>771.276595744681</v>
      </c>
      <c r="Q299" s="160" t="str">
        <f t="shared" si="174"/>
        <v>1+41379.004686967i</v>
      </c>
      <c r="R299" s="160">
        <f t="shared" si="182"/>
        <v>41379.00469905042</v>
      </c>
      <c r="S299" s="160">
        <f t="shared" si="183"/>
        <v>1.5707721599497206</v>
      </c>
      <c r="T299" s="160" t="str">
        <f t="shared" si="175"/>
        <v>1+0.0097362363969334i</v>
      </c>
      <c r="U299" s="160">
        <f t="shared" si="184"/>
        <v>1.0000473960263967</v>
      </c>
      <c r="V299" s="160">
        <f t="shared" si="185"/>
        <v>9.7359287678614771E-3</v>
      </c>
      <c r="W299" s="98" t="str">
        <f t="shared" si="176"/>
        <v>1-0.0275860031246446i</v>
      </c>
      <c r="X299" s="160">
        <f t="shared" si="186"/>
        <v>1.0003804214239667</v>
      </c>
      <c r="Y299" s="160">
        <f t="shared" si="187"/>
        <v>-2.7579008782784787E-2</v>
      </c>
      <c r="Z299" s="98" t="str">
        <f t="shared" si="177"/>
        <v>0.983325224661187-0.188876182514374i</v>
      </c>
      <c r="AA299" s="160">
        <f t="shared" si="188"/>
        <v>1.001300509225965</v>
      </c>
      <c r="AB299" s="160">
        <f t="shared" si="189"/>
        <v>-0.18976779778889533</v>
      </c>
      <c r="AC299" s="171" t="str">
        <f t="shared" si="190"/>
        <v>0.0031864609727596-0.0183484459612324i</v>
      </c>
      <c r="AD299" s="190">
        <f t="shared" si="191"/>
        <v>-34.598971149105743</v>
      </c>
      <c r="AE299" s="169">
        <f t="shared" si="192"/>
        <v>-80.148054619340826</v>
      </c>
      <c r="AF299" s="98" t="str">
        <f t="shared" si="178"/>
        <v>-0.0000119284294234592</v>
      </c>
      <c r="AG299" s="98" t="str">
        <f t="shared" si="179"/>
        <v>0.000227268098095418i</v>
      </c>
      <c r="AH299" s="98">
        <f t="shared" si="193"/>
        <v>2.27268098095418E-4</v>
      </c>
      <c r="AI299" s="98">
        <f t="shared" si="194"/>
        <v>1.5707963267948966</v>
      </c>
      <c r="AJ299" s="98" t="str">
        <f t="shared" si="180"/>
        <v>1+0.196270327804615i</v>
      </c>
      <c r="AK299" s="98">
        <f t="shared" si="195"/>
        <v>1.0190790163557146</v>
      </c>
      <c r="AL299" s="98">
        <f t="shared" si="196"/>
        <v>0.19380677794655143</v>
      </c>
      <c r="AM299" s="98" t="str">
        <f t="shared" si="181"/>
        <v>1+499.793468375915i</v>
      </c>
      <c r="AN299" s="98">
        <f t="shared" si="197"/>
        <v>499.79446878814764</v>
      </c>
      <c r="AO299" s="98">
        <f t="shared" si="198"/>
        <v>1.5687955029969842</v>
      </c>
      <c r="AP299" s="168" t="str">
        <f t="shared" si="199"/>
        <v>-25.2492837741983+5.00817136171492i</v>
      </c>
      <c r="AQ299" s="98">
        <f t="shared" si="200"/>
        <v>28.212567481130812</v>
      </c>
      <c r="AR299" s="169">
        <f t="shared" si="201"/>
        <v>168.78105082346372</v>
      </c>
      <c r="AS299" s="168" t="str">
        <f t="shared" si="202"/>
        <v>0.0114363042584028+0.479243461479696i</v>
      </c>
      <c r="AT299" s="190">
        <f t="shared" si="203"/>
        <v>-6.3864036679749461</v>
      </c>
      <c r="AU299" s="169">
        <f t="shared" si="204"/>
        <v>88.63299620412289</v>
      </c>
      <c r="AV299" s="225"/>
      <c r="AX299">
        <f t="shared" si="205"/>
        <v>0</v>
      </c>
      <c r="AY299">
        <f t="shared" si="206"/>
        <v>0</v>
      </c>
    </row>
    <row r="300" spans="14:51" x14ac:dyDescent="0.2">
      <c r="N300" s="170">
        <v>82</v>
      </c>
      <c r="O300" s="199">
        <f t="shared" si="207"/>
        <v>6606.9344800759654</v>
      </c>
      <c r="P300" s="189" t="str">
        <f t="shared" si="173"/>
        <v>771.276595744681</v>
      </c>
      <c r="Q300" s="160" t="str">
        <f t="shared" si="174"/>
        <v>1+42342.8455237257i</v>
      </c>
      <c r="R300" s="160">
        <f t="shared" si="182"/>
        <v>42342.84553553407</v>
      </c>
      <c r="S300" s="160">
        <f t="shared" si="183"/>
        <v>1.5707727100542774</v>
      </c>
      <c r="T300" s="160" t="str">
        <f t="shared" si="175"/>
        <v>1+0.00996302247617075i</v>
      </c>
      <c r="U300" s="160">
        <f t="shared" si="184"/>
        <v>1.0000496296768779</v>
      </c>
      <c r="V300" s="160">
        <f t="shared" si="185"/>
        <v>9.9626928465648378E-3</v>
      </c>
      <c r="W300" s="98" t="str">
        <f t="shared" si="176"/>
        <v>1-0.0282285636824838i</v>
      </c>
      <c r="X300" s="160">
        <f t="shared" si="186"/>
        <v>1.0003983465637956</v>
      </c>
      <c r="Y300" s="160">
        <f t="shared" si="187"/>
        <v>-2.8221069271320114E-2</v>
      </c>
      <c r="Z300" s="98" t="str">
        <f t="shared" si="177"/>
        <v>0.982539366710393-0.193275673975699i</v>
      </c>
      <c r="AA300" s="160">
        <f t="shared" si="188"/>
        <v>1.0013686100964125</v>
      </c>
      <c r="AB300" s="160">
        <f t="shared" si="189"/>
        <v>-0.19423045411504766</v>
      </c>
      <c r="AC300" s="171" t="str">
        <f t="shared" si="190"/>
        <v>0.00318631254836186-0.0179171785680646i</v>
      </c>
      <c r="AD300" s="190">
        <f t="shared" si="191"/>
        <v>-34.799386841789762</v>
      </c>
      <c r="AE300" s="169">
        <f t="shared" si="192"/>
        <v>-79.916189496634658</v>
      </c>
      <c r="AF300" s="98" t="str">
        <f t="shared" si="178"/>
        <v>-0.0000119284294234592</v>
      </c>
      <c r="AG300" s="98" t="str">
        <f t="shared" si="179"/>
        <v>0.000232561852150016i</v>
      </c>
      <c r="AH300" s="98">
        <f t="shared" si="193"/>
        <v>2.3256185215001599E-4</v>
      </c>
      <c r="AI300" s="98">
        <f t="shared" si="194"/>
        <v>1.5707963267948966</v>
      </c>
      <c r="AJ300" s="98" t="str">
        <f t="shared" si="180"/>
        <v>1+0.200842051035108i</v>
      </c>
      <c r="AK300" s="98">
        <f t="shared" si="195"/>
        <v>1.0199693767285314</v>
      </c>
      <c r="AL300" s="98">
        <f t="shared" si="196"/>
        <v>0.19820509303979569</v>
      </c>
      <c r="AM300" s="98" t="str">
        <f t="shared" si="181"/>
        <v>1+511.435153776765i</v>
      </c>
      <c r="AN300" s="98">
        <f t="shared" si="197"/>
        <v>511.43613141687911</v>
      </c>
      <c r="AO300" s="98">
        <f t="shared" si="198"/>
        <v>1.5688410471895697</v>
      </c>
      <c r="AP300" s="168" t="str">
        <f t="shared" si="199"/>
        <v>-25.205221373717+5.11355978518321i</v>
      </c>
      <c r="AQ300" s="98">
        <f t="shared" si="200"/>
        <v>28.204981226450485</v>
      </c>
      <c r="AR300" s="169">
        <f t="shared" si="201"/>
        <v>168.53165542166869</v>
      </c>
      <c r="AS300" s="168" t="str">
        <f t="shared" si="202"/>
        <v>0.0113088506422886+0.467899851910814i</v>
      </c>
      <c r="AT300" s="190">
        <f t="shared" si="203"/>
        <v>-6.5944056153392738</v>
      </c>
      <c r="AU300" s="169">
        <f t="shared" si="204"/>
        <v>88.615465925034044</v>
      </c>
      <c r="AV300" s="225"/>
      <c r="AX300">
        <f t="shared" si="205"/>
        <v>0</v>
      </c>
      <c r="AY300">
        <f t="shared" si="206"/>
        <v>0</v>
      </c>
    </row>
    <row r="301" spans="14:51" x14ac:dyDescent="0.2">
      <c r="N301" s="170">
        <v>83</v>
      </c>
      <c r="O301" s="199">
        <f t="shared" si="207"/>
        <v>6760.8297539198229</v>
      </c>
      <c r="P301" s="189" t="str">
        <f t="shared" si="173"/>
        <v>771.276595744681</v>
      </c>
      <c r="Q301" s="160" t="str">
        <f t="shared" si="174"/>
        <v>1+43329.137097655i</v>
      </c>
      <c r="R301" s="160">
        <f t="shared" si="182"/>
        <v>43329.137109194577</v>
      </c>
      <c r="S301" s="160">
        <f t="shared" si="183"/>
        <v>1.5707732476369256</v>
      </c>
      <c r="T301" s="160" t="str">
        <f t="shared" si="175"/>
        <v>1+0.0101950910818012i</v>
      </c>
      <c r="U301" s="160">
        <f t="shared" si="184"/>
        <v>1.0000519685907159</v>
      </c>
      <c r="V301" s="160">
        <f t="shared" si="185"/>
        <v>1.0194737878306191E-2</v>
      </c>
      <c r="W301" s="98" t="str">
        <f t="shared" si="176"/>
        <v>1-0.0288860913984366i</v>
      </c>
      <c r="X301" s="160">
        <f t="shared" si="186"/>
        <v>1.0004171161452002</v>
      </c>
      <c r="Y301" s="160">
        <f t="shared" si="187"/>
        <v>-2.8878061173015675E-2</v>
      </c>
      <c r="Z301" s="98" t="str">
        <f t="shared" si="177"/>
        <v>0.981716472415405-0.197777642757673i</v>
      </c>
      <c r="AA301" s="160">
        <f t="shared" si="188"/>
        <v>1.0014405764629914</v>
      </c>
      <c r="AB301" s="160">
        <f t="shared" si="189"/>
        <v>-0.19880003126408846</v>
      </c>
      <c r="AC301" s="171" t="str">
        <f t="shared" si="190"/>
        <v>0.00318615482895524-0.017495391503169i</v>
      </c>
      <c r="AD301" s="190">
        <f t="shared" si="191"/>
        <v>-34.999827778247734</v>
      </c>
      <c r="AE301" s="169">
        <f t="shared" si="192"/>
        <v>-79.678750475217811</v>
      </c>
      <c r="AF301" s="98" t="str">
        <f t="shared" si="178"/>
        <v>-0.0000119284294234592</v>
      </c>
      <c r="AG301" s="98" t="str">
        <f t="shared" si="179"/>
        <v>0.000237978913576944i</v>
      </c>
      <c r="AH301" s="98">
        <f t="shared" si="193"/>
        <v>2.3797891357694401E-4</v>
      </c>
      <c r="AI301" s="98">
        <f t="shared" si="194"/>
        <v>1.5707963267948966</v>
      </c>
      <c r="AJ301" s="98" t="str">
        <f t="shared" si="180"/>
        <v>1+0.20552026337952i</v>
      </c>
      <c r="AK301" s="98">
        <f t="shared" si="195"/>
        <v>1.0209008662253096</v>
      </c>
      <c r="AL301" s="98">
        <f t="shared" si="196"/>
        <v>0.20269782683553098</v>
      </c>
      <c r="AM301" s="98" t="str">
        <f t="shared" si="181"/>
        <v>1+523.348008865794i</v>
      </c>
      <c r="AN301" s="98">
        <f t="shared" si="197"/>
        <v>523.34896425214322</v>
      </c>
      <c r="AO301" s="98">
        <f t="shared" si="198"/>
        <v>1.5688855546776008</v>
      </c>
      <c r="AP301" s="168" t="str">
        <f t="shared" si="199"/>
        <v>-25.1592469041488+5.22085894242758i</v>
      </c>
      <c r="AQ301" s="98">
        <f t="shared" si="200"/>
        <v>28.197051689418458</v>
      </c>
      <c r="AR301" s="169">
        <f t="shared" si="201"/>
        <v>168.27679082791815</v>
      </c>
      <c r="AS301" s="168" t="str">
        <f t="shared" si="202"/>
        <v>0.0111797151640605+0.456805339443686i</v>
      </c>
      <c r="AT301" s="190">
        <f t="shared" si="203"/>
        <v>-6.8027760888292663</v>
      </c>
      <c r="AU301" s="169">
        <f t="shared" si="204"/>
        <v>88.598040352700338</v>
      </c>
      <c r="AV301" s="225"/>
      <c r="AX301">
        <f t="shared" si="205"/>
        <v>0</v>
      </c>
      <c r="AY301">
        <f t="shared" si="206"/>
        <v>0</v>
      </c>
    </row>
    <row r="302" spans="14:51" x14ac:dyDescent="0.2">
      <c r="N302" s="170">
        <v>84</v>
      </c>
      <c r="O302" s="199">
        <f t="shared" si="207"/>
        <v>6918.3097091893687</v>
      </c>
      <c r="P302" s="189" t="str">
        <f t="shared" si="173"/>
        <v>771.276595744681</v>
      </c>
      <c r="Q302" s="160" t="str">
        <f t="shared" si="174"/>
        <v>1+44338.4023536024i</v>
      </c>
      <c r="R302" s="160">
        <f t="shared" si="182"/>
        <v>44338.402364879308</v>
      </c>
      <c r="S302" s="160">
        <f t="shared" si="183"/>
        <v>1.5707737729826989</v>
      </c>
      <c r="T302" s="160" t="str">
        <f t="shared" si="175"/>
        <v>1+0.0104325652596712i</v>
      </c>
      <c r="U302" s="160">
        <f t="shared" si="184"/>
        <v>1.0000544177283042</v>
      </c>
      <c r="V302" s="160">
        <f t="shared" si="185"/>
        <v>1.0432186796419874E-2</v>
      </c>
      <c r="W302" s="98" t="str">
        <f t="shared" si="176"/>
        <v>1-0.0295589349024016i</v>
      </c>
      <c r="X302" s="160">
        <f t="shared" si="186"/>
        <v>1.0004367699322954</v>
      </c>
      <c r="Y302" s="160">
        <f t="shared" si="187"/>
        <v>-2.9550330563712552E-2</v>
      </c>
      <c r="Z302" s="98" t="str">
        <f t="shared" si="177"/>
        <v>0.980854796307094-0.202384475863733i</v>
      </c>
      <c r="AA302" s="160">
        <f t="shared" si="188"/>
        <v>1.0015166536355093</v>
      </c>
      <c r="AB302" s="160">
        <f t="shared" si="189"/>
        <v>-0.20347922492934936</v>
      </c>
      <c r="AC302" s="171" t="str">
        <f t="shared" si="190"/>
        <v>0.003185986892869-0.017082859796162i</v>
      </c>
      <c r="AD302" s="190">
        <f t="shared" si="191"/>
        <v>-35.200295690864891</v>
      </c>
      <c r="AE302" s="169">
        <f t="shared" si="192"/>
        <v>-79.435595904694438</v>
      </c>
      <c r="AF302" s="98" t="str">
        <f t="shared" si="178"/>
        <v>-0.0000119284294234592</v>
      </c>
      <c r="AG302" s="98" t="str">
        <f t="shared" si="179"/>
        <v>0.000243522154573874i</v>
      </c>
      <c r="AH302" s="98">
        <f t="shared" si="193"/>
        <v>2.43522154573874E-4</v>
      </c>
      <c r="AI302" s="98">
        <f t="shared" si="194"/>
        <v>1.5707963267948966</v>
      </c>
      <c r="AJ302" s="98" t="str">
        <f t="shared" si="180"/>
        <v>1+0.210307445287957i</v>
      </c>
      <c r="AK302" s="98">
        <f t="shared" si="195"/>
        <v>1.0218753454035121</v>
      </c>
      <c r="AL302" s="98">
        <f t="shared" si="196"/>
        <v>0.20728663562284916</v>
      </c>
      <c r="AM302" s="98" t="str">
        <f t="shared" si="181"/>
        <v>1+535.538349996453i</v>
      </c>
      <c r="AN302" s="98">
        <f t="shared" si="197"/>
        <v>535.53928363559226</v>
      </c>
      <c r="AO302" s="98">
        <f t="shared" si="198"/>
        <v>1.568929049058831</v>
      </c>
      <c r="AP302" s="168" t="str">
        <f t="shared" si="199"/>
        <v>-25.1112851398328+5.33007315882795i</v>
      </c>
      <c r="AQ302" s="98">
        <f t="shared" si="200"/>
        <v>28.18876399925972</v>
      </c>
      <c r="AR302" s="169">
        <f t="shared" si="201"/>
        <v>168.01636349588929</v>
      </c>
      <c r="AS302" s="168" t="str">
        <f t="shared" si="202"/>
        <v>0.0110486671569408+0.445954106567269i</v>
      </c>
      <c r="AT302" s="190">
        <f t="shared" si="203"/>
        <v>-7.011531691605164</v>
      </c>
      <c r="AU302" s="169">
        <f t="shared" si="204"/>
        <v>88.580767591194856</v>
      </c>
      <c r="AV302" s="225"/>
      <c r="AX302">
        <f t="shared" si="205"/>
        <v>0</v>
      </c>
      <c r="AY302">
        <f t="shared" si="206"/>
        <v>0</v>
      </c>
    </row>
    <row r="303" spans="14:51" x14ac:dyDescent="0.2">
      <c r="N303" s="170">
        <v>85</v>
      </c>
      <c r="O303" s="199">
        <f t="shared" si="207"/>
        <v>7079.4578438413828</v>
      </c>
      <c r="P303" s="189" t="str">
        <f t="shared" si="173"/>
        <v>771.276595744681</v>
      </c>
      <c r="Q303" s="160" t="str">
        <f t="shared" si="174"/>
        <v>1+45371.1764173658i</v>
      </c>
      <c r="R303" s="160">
        <f t="shared" si="182"/>
        <v>45371.17642838601</v>
      </c>
      <c r="S303" s="160">
        <f t="shared" si="183"/>
        <v>1.5707742863701424</v>
      </c>
      <c r="T303" s="160" t="str">
        <f t="shared" si="175"/>
        <v>1+0.0106755709217331i</v>
      </c>
      <c r="U303" s="160">
        <f t="shared" si="184"/>
        <v>1.0000569822837622</v>
      </c>
      <c r="V303" s="160">
        <f t="shared" si="185"/>
        <v>1.067516539230094E-2</v>
      </c>
      <c r="W303" s="98" t="str">
        <f t="shared" si="176"/>
        <v>1-0.0302474509449105i</v>
      </c>
      <c r="X303" s="160">
        <f t="shared" si="186"/>
        <v>1.0004573495600224</v>
      </c>
      <c r="Y303" s="160">
        <f t="shared" si="187"/>
        <v>-3.0238231457512667E-2</v>
      </c>
      <c r="Z303" s="98" t="str">
        <f t="shared" si="177"/>
        <v>0.979952510654909-0.207098615897771i</v>
      </c>
      <c r="AA303" s="160">
        <f t="shared" si="188"/>
        <v>1.0015971045513421</v>
      </c>
      <c r="AB303" s="160">
        <f t="shared" si="189"/>
        <v>-0.20827080735786338</v>
      </c>
      <c r="AC303" s="171" t="str">
        <f t="shared" si="190"/>
        <v>0.00318580774065541-0.016679363297095i</v>
      </c>
      <c r="AD303" s="190">
        <f t="shared" si="191"/>
        <v>-35.400792445602129</v>
      </c>
      <c r="AE303" s="169">
        <f t="shared" si="192"/>
        <v>-79.186580039167339</v>
      </c>
      <c r="AF303" s="98" t="str">
        <f t="shared" si="178"/>
        <v>-0.0000119284294234592</v>
      </c>
      <c r="AG303" s="98" t="str">
        <f t="shared" si="179"/>
        <v>0.000249194514240556i</v>
      </c>
      <c r="AH303" s="98">
        <f t="shared" si="193"/>
        <v>2.4919451424055601E-4</v>
      </c>
      <c r="AI303" s="98">
        <f t="shared" si="194"/>
        <v>1.5707963267948966</v>
      </c>
      <c r="AJ303" s="98" t="str">
        <f t="shared" si="180"/>
        <v>1+0.215206134987635i</v>
      </c>
      <c r="AK303" s="98">
        <f t="shared" si="195"/>
        <v>1.0228947553567358</v>
      </c>
      <c r="AL303" s="98">
        <f t="shared" si="196"/>
        <v>0.21197317906779539</v>
      </c>
      <c r="AM303" s="98" t="str">
        <f t="shared" si="181"/>
        <v>1+548.012640648967i</v>
      </c>
      <c r="AN303" s="98">
        <f t="shared" si="197"/>
        <v>548.01355303592072</v>
      </c>
      <c r="AO303" s="98">
        <f t="shared" si="198"/>
        <v>1.5689715533938984</v>
      </c>
      <c r="AP303" s="168" t="str">
        <f t="shared" si="199"/>
        <v>-25.0612586084938+5.44120454854707i</v>
      </c>
      <c r="AQ303" s="98">
        <f t="shared" si="200"/>
        <v>28.180102702943554</v>
      </c>
      <c r="AR303" s="169">
        <f t="shared" si="201"/>
        <v>167.75027965499956</v>
      </c>
      <c r="AS303" s="168" t="str">
        <f t="shared" si="202"/>
        <v>0.0109154757735158+0.435340468582768i</v>
      </c>
      <c r="AT303" s="190">
        <f t="shared" si="203"/>
        <v>-7.2206897426585792</v>
      </c>
      <c r="AU303" s="169">
        <f t="shared" si="204"/>
        <v>88.563699615832221</v>
      </c>
      <c r="AV303" s="225"/>
      <c r="AX303">
        <f t="shared" si="205"/>
        <v>0</v>
      </c>
      <c r="AY303">
        <f t="shared" si="206"/>
        <v>0</v>
      </c>
    </row>
    <row r="304" spans="14:51" x14ac:dyDescent="0.2">
      <c r="N304" s="170">
        <v>86</v>
      </c>
      <c r="O304" s="199">
        <f t="shared" si="207"/>
        <v>7244.3596007499036</v>
      </c>
      <c r="P304" s="189" t="str">
        <f t="shared" si="173"/>
        <v>771.276595744681</v>
      </c>
      <c r="Q304" s="160" t="str">
        <f t="shared" si="174"/>
        <v>1+46428.0068794243i</v>
      </c>
      <c r="R304" s="160">
        <f t="shared" si="182"/>
        <v>46428.006890193654</v>
      </c>
      <c r="S304" s="160">
        <f t="shared" si="183"/>
        <v>1.5707747880714609</v>
      </c>
      <c r="T304" s="160" t="str">
        <f t="shared" si="175"/>
        <v>1+0.0109242369128057i</v>
      </c>
      <c r="U304" s="160">
        <f t="shared" si="184"/>
        <v>1.0000596676959466</v>
      </c>
      <c r="V304" s="160">
        <f t="shared" si="185"/>
        <v>1.0923802381590521E-2</v>
      </c>
      <c r="W304" s="98" t="str">
        <f t="shared" si="176"/>
        <v>1-0.0309520045862828i</v>
      </c>
      <c r="X304" s="160">
        <f t="shared" si="186"/>
        <v>1.0004788986220094</v>
      </c>
      <c r="Y304" s="160">
        <f t="shared" si="187"/>
        <v>-3.0942125982925936E-2</v>
      </c>
      <c r="Z304" s="98" t="str">
        <f t="shared" si="177"/>
        <v>0.979007701590009-0.211922562359233i</v>
      </c>
      <c r="AA304" s="160">
        <f t="shared" si="188"/>
        <v>1.0016822111874879</v>
      </c>
      <c r="AB304" s="160">
        <f t="shared" si="189"/>
        <v>-0.21317763000471979</v>
      </c>
      <c r="AC304" s="171" t="str">
        <f t="shared" si="190"/>
        <v>0.00318561628764691-0.016284686554573i</v>
      </c>
      <c r="AD304" s="190">
        <f t="shared" si="191"/>
        <v>-35.60132005323301</v>
      </c>
      <c r="AE304" s="169">
        <f t="shared" si="192"/>
        <v>-78.931552891462857</v>
      </c>
      <c r="AF304" s="98" t="str">
        <f t="shared" si="178"/>
        <v>-0.0000119284294234592</v>
      </c>
      <c r="AG304" s="98" t="str">
        <f t="shared" si="179"/>
        <v>0.000254999000137168i</v>
      </c>
      <c r="AH304" s="98">
        <f t="shared" si="193"/>
        <v>2.54999000137168E-4</v>
      </c>
      <c r="AI304" s="98">
        <f t="shared" si="194"/>
        <v>1.5707963267948966</v>
      </c>
      <c r="AJ304" s="98" t="str">
        <f t="shared" si="180"/>
        <v>1+0.220218929828673i</v>
      </c>
      <c r="AK304" s="98">
        <f t="shared" si="195"/>
        <v>1.0239611208707518</v>
      </c>
      <c r="AL304" s="98">
        <f t="shared" si="196"/>
        <v>0.21675911818487809</v>
      </c>
      <c r="AM304" s="98" t="str">
        <f t="shared" si="181"/>
        <v>1+560.77749485736i</v>
      </c>
      <c r="AN304" s="98">
        <f t="shared" si="197"/>
        <v>560.77838647588442</v>
      </c>
      <c r="AO304" s="98">
        <f t="shared" si="198"/>
        <v>1.5690130902185491</v>
      </c>
      <c r="AP304" s="168" t="str">
        <f t="shared" si="199"/>
        <v>-25.0090875918715+5.55425284349459i</v>
      </c>
      <c r="AQ304" s="98">
        <f t="shared" si="200"/>
        <v>28.171051748042689</v>
      </c>
      <c r="AR304" s="169">
        <f t="shared" si="201"/>
        <v>167.47844542733097</v>
      </c>
      <c r="AS304" s="168" t="str">
        <f t="shared" si="202"/>
        <v>0.0107799098293011+0.424958870773434i</v>
      </c>
      <c r="AT304" s="190">
        <f t="shared" si="203"/>
        <v>-7.4302683051903209</v>
      </c>
      <c r="AU304" s="169">
        <f t="shared" si="204"/>
        <v>88.546892535868153</v>
      </c>
      <c r="AV304" s="225"/>
      <c r="AX304">
        <f t="shared" si="205"/>
        <v>0</v>
      </c>
      <c r="AY304">
        <f t="shared" si="206"/>
        <v>0</v>
      </c>
    </row>
    <row r="305" spans="14:51" x14ac:dyDescent="0.2">
      <c r="N305" s="170">
        <v>87</v>
      </c>
      <c r="O305" s="199">
        <f t="shared" si="207"/>
        <v>7413.1024130091773</v>
      </c>
      <c r="P305" s="189" t="str">
        <f t="shared" si="173"/>
        <v>771.276595744681</v>
      </c>
      <c r="Q305" s="160" t="str">
        <f t="shared" si="174"/>
        <v>1+47509.4540852775i</v>
      </c>
      <c r="R305" s="160">
        <f t="shared" si="182"/>
        <v>47509.454095801717</v>
      </c>
      <c r="S305" s="160">
        <f t="shared" si="183"/>
        <v>1.5707752783526632</v>
      </c>
      <c r="T305" s="160" t="str">
        <f t="shared" si="175"/>
        <v>1+0.0111786950788888i</v>
      </c>
      <c r="U305" s="160">
        <f t="shared" si="184"/>
        <v>1.0000624796599795</v>
      </c>
      <c r="V305" s="160">
        <f t="shared" si="185"/>
        <v>1.1178229471874072E-2</v>
      </c>
      <c r="W305" s="98" t="str">
        <f t="shared" si="176"/>
        <v>1-0.031672969390185i</v>
      </c>
      <c r="X305" s="160">
        <f t="shared" si="186"/>
        <v>1.0005014627625448</v>
      </c>
      <c r="Y305" s="160">
        <f t="shared" si="187"/>
        <v>-3.1662384562495968E-2</v>
      </c>
      <c r="Z305" s="98" t="str">
        <f t="shared" si="177"/>
        <v>0.978018365045695-0.216858872968384i</v>
      </c>
      <c r="AA305" s="160">
        <f t="shared" si="188"/>
        <v>1.0017722760946082</v>
      </c>
      <c r="AB305" s="160">
        <f t="shared" si="189"/>
        <v>-0.21820262629744519</v>
      </c>
      <c r="AC305" s="171" t="str">
        <f t="shared" si="190"/>
        <v>0.00318541135583429-0.0158986186961302i</v>
      </c>
      <c r="AD305" s="190">
        <f t="shared" si="191"/>
        <v>-35.801880681575291</v>
      </c>
      <c r="AE305" s="169">
        <f t="shared" si="192"/>
        <v>-78.670360081164802</v>
      </c>
      <c r="AF305" s="98" t="str">
        <f t="shared" si="178"/>
        <v>-0.0000119284294234592</v>
      </c>
      <c r="AG305" s="98" t="str">
        <f t="shared" si="179"/>
        <v>0.000260938689878963i</v>
      </c>
      <c r="AH305" s="98">
        <f t="shared" si="193"/>
        <v>2.6093868987896298E-4</v>
      </c>
      <c r="AI305" s="98">
        <f t="shared" si="194"/>
        <v>1.5707963267948966</v>
      </c>
      <c r="AJ305" s="98" t="str">
        <f t="shared" si="180"/>
        <v>1+0.225348487661248i</v>
      </c>
      <c r="AK305" s="98">
        <f t="shared" si="195"/>
        <v>1.0250765536735349</v>
      </c>
      <c r="AL305" s="98">
        <f t="shared" si="196"/>
        <v>0.22164611315540872</v>
      </c>
      <c r="AM305" s="98" t="str">
        <f t="shared" si="181"/>
        <v>1+573.839680716293i</v>
      </c>
      <c r="AN305" s="98">
        <f t="shared" si="197"/>
        <v>573.84055203913306</v>
      </c>
      <c r="AO305" s="98">
        <f t="shared" si="198"/>
        <v>1.5690536815555838</v>
      </c>
      <c r="AP305" s="168" t="str">
        <f t="shared" si="199"/>
        <v>-24.9546901341735+5.66921521483973i</v>
      </c>
      <c r="AQ305" s="98">
        <f t="shared" si="200"/>
        <v>28.161594465626571</v>
      </c>
      <c r="AR305" s="169">
        <f t="shared" si="201"/>
        <v>167.20076695331483</v>
      </c>
      <c r="AS305" s="168" t="str">
        <f t="shared" si="202"/>
        <v>0.0106417376723145+0.414803885647326i</v>
      </c>
      <c r="AT305" s="190">
        <f t="shared" si="203"/>
        <v>-7.6402862159487173</v>
      </c>
      <c r="AU305" s="169">
        <f t="shared" si="204"/>
        <v>88.530406872150024</v>
      </c>
      <c r="AV305" s="225"/>
      <c r="AX305">
        <f t="shared" si="205"/>
        <v>0</v>
      </c>
      <c r="AY305">
        <f t="shared" si="206"/>
        <v>0</v>
      </c>
    </row>
    <row r="306" spans="14:51" x14ac:dyDescent="0.2">
      <c r="N306" s="170">
        <v>88</v>
      </c>
      <c r="O306" s="199">
        <f t="shared" si="207"/>
        <v>7585.7757502918394</v>
      </c>
      <c r="P306" s="189" t="str">
        <f t="shared" si="173"/>
        <v>771.276595744681</v>
      </c>
      <c r="Q306" s="160" t="str">
        <f t="shared" si="174"/>
        <v>1+48616.0914325488i</v>
      </c>
      <c r="R306" s="160">
        <f t="shared" si="182"/>
        <v>48616.091442833451</v>
      </c>
      <c r="S306" s="160">
        <f t="shared" si="183"/>
        <v>1.5707757574737029</v>
      </c>
      <c r="T306" s="160" t="str">
        <f t="shared" si="175"/>
        <v>1+0.0114390803370703i</v>
      </c>
      <c r="U306" s="160">
        <f t="shared" si="184"/>
        <v>1.0000654241393199</v>
      </c>
      <c r="V306" s="160">
        <f t="shared" si="185"/>
        <v>1.1438581431928113E-2</v>
      </c>
      <c r="W306" s="98" t="str">
        <f t="shared" si="176"/>
        <v>1-0.0324107276216991i</v>
      </c>
      <c r="X306" s="160">
        <f t="shared" si="186"/>
        <v>1.0005250897728493</v>
      </c>
      <c r="Y306" s="160">
        <f t="shared" si="187"/>
        <v>-3.239938609594345E-2</v>
      </c>
      <c r="Z306" s="98" t="str">
        <f t="shared" si="177"/>
        <v>0.976982402506514-0.22191016502245i</v>
      </c>
      <c r="AA306" s="160">
        <f t="shared" si="188"/>
        <v>1.0018676240640232</v>
      </c>
      <c r="AB306" s="160">
        <f t="shared" si="189"/>
        <v>-0.22334881451466299</v>
      </c>
      <c r="AC306" s="171" t="str">
        <f t="shared" si="190"/>
        <v>0.00318519166500327-0.0155209533107976i</v>
      </c>
      <c r="AD306" s="190">
        <f t="shared" si="191"/>
        <v>-36.002476668807482</v>
      </c>
      <c r="AE306" s="169">
        <f t="shared" si="192"/>
        <v>-78.402842676213979</v>
      </c>
      <c r="AF306" s="98" t="str">
        <f t="shared" si="178"/>
        <v>-0.0000119284294234592</v>
      </c>
      <c r="AG306" s="98" t="str">
        <f t="shared" si="179"/>
        <v>0.000267016732768063i</v>
      </c>
      <c r="AH306" s="98">
        <f t="shared" si="193"/>
        <v>2.6701673276806299E-4</v>
      </c>
      <c r="AI306" s="98">
        <f t="shared" si="194"/>
        <v>1.5707963267948966</v>
      </c>
      <c r="AJ306" s="98" t="str">
        <f t="shared" si="180"/>
        <v>1+0.230597528244821i</v>
      </c>
      <c r="AK306" s="98">
        <f t="shared" si="195"/>
        <v>1.0262432557793599</v>
      </c>
      <c r="AL306" s="98">
        <f t="shared" si="196"/>
        <v>0.2266358209861197</v>
      </c>
      <c r="AM306" s="98" t="str">
        <f t="shared" si="181"/>
        <v>1+587.206123969608i</v>
      </c>
      <c r="AN306" s="98">
        <f t="shared" si="197"/>
        <v>587.20697545874805</v>
      </c>
      <c r="AO306" s="98">
        <f t="shared" si="198"/>
        <v>1.5690933489265317</v>
      </c>
      <c r="AP306" s="168" t="str">
        <f t="shared" si="199"/>
        <v>-24.8979820591615+5.7860860871231i</v>
      </c>
      <c r="AQ306" s="98">
        <f t="shared" si="200"/>
        <v>28.151713553251771</v>
      </c>
      <c r="AR306" s="169">
        <f t="shared" si="201"/>
        <v>166.91715052655138</v>
      </c>
      <c r="AS306" s="168" t="str">
        <f t="shared" si="202"/>
        <v>0.010500727080251+0.404870210251018i</v>
      </c>
      <c r="AT306" s="190">
        <f t="shared" si="203"/>
        <v>-7.8507631155557069</v>
      </c>
      <c r="AU306" s="169">
        <f t="shared" si="204"/>
        <v>88.514307850337417</v>
      </c>
      <c r="AV306" s="225"/>
      <c r="AX306">
        <f t="shared" si="205"/>
        <v>0</v>
      </c>
      <c r="AY306">
        <f t="shared" si="206"/>
        <v>0</v>
      </c>
    </row>
    <row r="307" spans="14:51" x14ac:dyDescent="0.2">
      <c r="N307" s="170">
        <v>89</v>
      </c>
      <c r="O307" s="199">
        <f t="shared" si="207"/>
        <v>7762.4711662869322</v>
      </c>
      <c r="P307" s="189" t="str">
        <f t="shared" si="173"/>
        <v>771.276595744681</v>
      </c>
      <c r="Q307" s="160" t="str">
        <f t="shared" si="174"/>
        <v>1+49748.5056750076i</v>
      </c>
      <c r="R307" s="160">
        <f t="shared" si="182"/>
        <v>49748.505685058153</v>
      </c>
      <c r="S307" s="160">
        <f t="shared" si="183"/>
        <v>1.5707762256886162</v>
      </c>
      <c r="T307" s="160" t="str">
        <f t="shared" si="175"/>
        <v>1+0.0117055307470606i</v>
      </c>
      <c r="U307" s="160">
        <f t="shared" si="184"/>
        <v>1.0000685073784046</v>
      </c>
      <c r="V307" s="160">
        <f t="shared" si="185"/>
        <v>1.1704996162547082E-2</v>
      </c>
      <c r="W307" s="98" t="str">
        <f t="shared" si="176"/>
        <v>1-0.033165670450005i</v>
      </c>
      <c r="X307" s="160">
        <f t="shared" si="186"/>
        <v>1.000549829691854</v>
      </c>
      <c r="Y307" s="160">
        <f t="shared" si="187"/>
        <v>-3.3153518146861342E-2</v>
      </c>
      <c r="Z307" s="98" t="str">
        <f t="shared" si="177"/>
        <v>0.975897616557026-0.227079116783339i</v>
      </c>
      <c r="AA307" s="160">
        <f t="shared" si="188"/>
        <v>1.0019686039396571</v>
      </c>
      <c r="AB307" s="160">
        <f t="shared" si="189"/>
        <v>-0.22861930078325043</v>
      </c>
      <c r="AC307" s="171" t="str">
        <f t="shared" si="190"/>
        <v>0.00318495582306182-0.0151514883338031i</v>
      </c>
      <c r="AD307" s="190">
        <f t="shared" si="191"/>
        <v>-36.203110537968278</v>
      </c>
      <c r="AE307" s="169">
        <f t="shared" si="192"/>
        <v>-78.128837027829178</v>
      </c>
      <c r="AF307" s="98" t="str">
        <f t="shared" si="178"/>
        <v>-0.0000119284294234592</v>
      </c>
      <c r="AG307" s="98" t="str">
        <f t="shared" si="179"/>
        <v>0.000273236351463262i</v>
      </c>
      <c r="AH307" s="98">
        <f t="shared" si="193"/>
        <v>2.7323635146326197E-4</v>
      </c>
      <c r="AI307" s="98">
        <f t="shared" si="194"/>
        <v>1.5707963267948966</v>
      </c>
      <c r="AJ307" s="98" t="str">
        <f t="shared" si="180"/>
        <v>1+0.235968834690189i</v>
      </c>
      <c r="AK307" s="98">
        <f t="shared" si="195"/>
        <v>1.0274635229267488</v>
      </c>
      <c r="AL307" s="98">
        <f t="shared" si="196"/>
        <v>0.23172989300160471</v>
      </c>
      <c r="AM307" s="98" t="str">
        <f t="shared" si="181"/>
        <v>1+600.883911682444i</v>
      </c>
      <c r="AN307" s="98">
        <f t="shared" si="197"/>
        <v>600.884743789352</v>
      </c>
      <c r="AO307" s="98">
        <f t="shared" si="198"/>
        <v>1.5691321133630578</v>
      </c>
      <c r="AP307" s="168" t="str">
        <f t="shared" si="199"/>
        <v>-24.838876996723+5.90485694507199i</v>
      </c>
      <c r="AQ307" s="98">
        <f t="shared" si="200"/>
        <v>28.141391058118451</v>
      </c>
      <c r="AR307" s="169">
        <f t="shared" si="201"/>
        <v>166.62750273813657</v>
      </c>
      <c r="AS307" s="168" t="str">
        <f t="shared" si="202"/>
        <v>0.0103566451870053+0.395152663552173i</v>
      </c>
      <c r="AT307" s="190">
        <f t="shared" si="203"/>
        <v>-8.061719479849824</v>
      </c>
      <c r="AU307" s="169">
        <f t="shared" si="204"/>
        <v>88.498665710307392</v>
      </c>
      <c r="AV307" s="225"/>
      <c r="AX307">
        <f t="shared" si="205"/>
        <v>0</v>
      </c>
      <c r="AY307">
        <f t="shared" si="206"/>
        <v>0</v>
      </c>
    </row>
    <row r="308" spans="14:51" x14ac:dyDescent="0.2">
      <c r="N308" s="170">
        <v>90</v>
      </c>
      <c r="O308" s="199">
        <f t="shared" si="207"/>
        <v>7943.2823472428154</v>
      </c>
      <c r="P308" s="189" t="str">
        <f t="shared" si="173"/>
        <v>771.276595744681</v>
      </c>
      <c r="Q308" s="160" t="str">
        <f t="shared" si="174"/>
        <v>1+50907.2972336745i</v>
      </c>
      <c r="R308" s="160">
        <f t="shared" si="182"/>
        <v>50907.297243496279</v>
      </c>
      <c r="S308" s="160">
        <f t="shared" si="183"/>
        <v>1.5707766832456569</v>
      </c>
      <c r="T308" s="160" t="str">
        <f t="shared" si="175"/>
        <v>1+0.011978187584394i</v>
      </c>
      <c r="U308" s="160">
        <f t="shared" si="184"/>
        <v>1.0000717359158826</v>
      </c>
      <c r="V308" s="160">
        <f t="shared" si="185"/>
        <v>1.1977614768986615E-2</v>
      </c>
      <c r="W308" s="98" t="str">
        <f t="shared" si="176"/>
        <v>1-0.0339381981557829i</v>
      </c>
      <c r="X308" s="160">
        <f t="shared" si="186"/>
        <v>1.0005757349116864</v>
      </c>
      <c r="Y308" s="160">
        <f t="shared" si="187"/>
        <v>-3.3925177132992972E-2</v>
      </c>
      <c r="Z308" s="98" t="str">
        <f t="shared" si="177"/>
        <v>0.974761706220792-0.232368468897693i</v>
      </c>
      <c r="AA308" s="160">
        <f t="shared" si="188"/>
        <v>1.0020755905880192</v>
      </c>
      <c r="AB308" s="160">
        <f t="shared" si="189"/>
        <v>-0.23401728219820586</v>
      </c>
      <c r="AC308" s="171" t="str">
        <f t="shared" si="190"/>
        <v>0.00318470231548331-0.0147900259333475i</v>
      </c>
      <c r="AD308" s="190">
        <f t="shared" si="191"/>
        <v>-36.403785012745601</v>
      </c>
      <c r="AE308" s="169">
        <f t="shared" si="192"/>
        <v>-77.848174598512529</v>
      </c>
      <c r="AF308" s="98" t="str">
        <f t="shared" si="178"/>
        <v>-0.0000119284294234592</v>
      </c>
      <c r="AG308" s="98" t="str">
        <f t="shared" si="179"/>
        <v>0.000279600843688717i</v>
      </c>
      <c r="AH308" s="98">
        <f t="shared" si="193"/>
        <v>2.79600843688717E-4</v>
      </c>
      <c r="AI308" s="98">
        <f t="shared" si="194"/>
        <v>1.5707963267948966</v>
      </c>
      <c r="AJ308" s="98" t="str">
        <f t="shared" si="180"/>
        <v>1+0.241465254935126i</v>
      </c>
      <c r="AK308" s="98">
        <f t="shared" si="195"/>
        <v>1.0287397481097371</v>
      </c>
      <c r="AL308" s="98">
        <f t="shared" si="196"/>
        <v>0.23692997216423498</v>
      </c>
      <c r="AM308" s="98" t="str">
        <f t="shared" si="181"/>
        <v>1+614.880295998892i</v>
      </c>
      <c r="AN308" s="98">
        <f t="shared" si="197"/>
        <v>614.88110916475966</v>
      </c>
      <c r="AO308" s="98">
        <f t="shared" si="198"/>
        <v>1.5691699954181137</v>
      </c>
      <c r="AP308" s="168" t="str">
        <f t="shared" si="199"/>
        <v>-24.7772864198243+6.0255161332858i</v>
      </c>
      <c r="AQ308" s="98">
        <f t="shared" si="200"/>
        <v>28.130608360468543</v>
      </c>
      <c r="AR308" s="169">
        <f t="shared" si="201"/>
        <v>166.33173063085792</v>
      </c>
      <c r="AS308" s="168" t="str">
        <f t="shared" si="202"/>
        <v>0.0102092584404931+0.385646183888838i</v>
      </c>
      <c r="AT308" s="190">
        <f t="shared" si="203"/>
        <v>-8.2731766522770531</v>
      </c>
      <c r="AU308" s="169">
        <f t="shared" si="204"/>
        <v>88.48355603234539</v>
      </c>
      <c r="AV308" s="225"/>
      <c r="AX308">
        <f t="shared" si="205"/>
        <v>0</v>
      </c>
      <c r="AY308">
        <f t="shared" si="206"/>
        <v>0</v>
      </c>
    </row>
    <row r="309" spans="14:51" x14ac:dyDescent="0.2">
      <c r="N309" s="170">
        <v>91</v>
      </c>
      <c r="O309" s="199">
        <f t="shared" si="207"/>
        <v>8128.3051616410066</v>
      </c>
      <c r="P309" s="189" t="str">
        <f t="shared" si="173"/>
        <v>771.276595744681</v>
      </c>
      <c r="Q309" s="160" t="str">
        <f t="shared" si="174"/>
        <v>1+52093.0805151727i</v>
      </c>
      <c r="R309" s="160">
        <f t="shared" si="182"/>
        <v>52093.080524770907</v>
      </c>
      <c r="S309" s="160">
        <f t="shared" si="183"/>
        <v>1.5707771303874278</v>
      </c>
      <c r="T309" s="160" t="str">
        <f t="shared" si="175"/>
        <v>1+0.0122571954153347i</v>
      </c>
      <c r="U309" s="160">
        <f t="shared" si="184"/>
        <v>1.0000751165984731</v>
      </c>
      <c r="V309" s="160">
        <f t="shared" si="185"/>
        <v>1.2256581635057228E-2</v>
      </c>
      <c r="W309" s="98" t="str">
        <f t="shared" si="176"/>
        <v>1-0.0347287203434484i</v>
      </c>
      <c r="X309" s="160">
        <f t="shared" si="186"/>
        <v>1.0006028602880832</v>
      </c>
      <c r="Y309" s="160">
        <f t="shared" si="187"/>
        <v>-3.4714768520124797E-2</v>
      </c>
      <c r="Z309" s="98" t="str">
        <f t="shared" si="177"/>
        <v>0.973572262079696-0.237781025850018i</v>
      </c>
      <c r="AA309" s="160">
        <f t="shared" si="188"/>
        <v>1.0021889870404999</v>
      </c>
      <c r="AB309" s="160">
        <f t="shared" si="189"/>
        <v>-0.23954605006933441</v>
      </c>
      <c r="AC309" s="171" t="str">
        <f t="shared" si="190"/>
        <v>0.00318442949378642-0.0144363723994043i</v>
      </c>
      <c r="AD309" s="190">
        <f t="shared" si="191"/>
        <v>-36.604503034671396</v>
      </c>
      <c r="AE309" s="169">
        <f t="shared" si="192"/>
        <v>-77.560681782898357</v>
      </c>
      <c r="AF309" s="98" t="str">
        <f t="shared" si="178"/>
        <v>-0.0000119284294234592</v>
      </c>
      <c r="AG309" s="98" t="str">
        <f t="shared" si="179"/>
        <v>0.000286113583982451i</v>
      </c>
      <c r="AH309" s="98">
        <f t="shared" si="193"/>
        <v>2.86113583982451E-4</v>
      </c>
      <c r="AI309" s="98">
        <f t="shared" si="194"/>
        <v>1.5707963267948966</v>
      </c>
      <c r="AJ309" s="98" t="str">
        <f t="shared" si="180"/>
        <v>1+0.247089703254401i</v>
      </c>
      <c r="AK309" s="98">
        <f t="shared" si="195"/>
        <v>1.0300744252015714</v>
      </c>
      <c r="AL309" s="98">
        <f t="shared" si="196"/>
        <v>0.24223769021538774</v>
      </c>
      <c r="AM309" s="98" t="str">
        <f t="shared" si="181"/>
        <v>1+629.202697987184i</v>
      </c>
      <c r="AN309" s="98">
        <f t="shared" si="197"/>
        <v>629.20349264316042</v>
      </c>
      <c r="AO309" s="98">
        <f t="shared" si="198"/>
        <v>1.5692070151768307</v>
      </c>
      <c r="AP309" s="168" t="str">
        <f t="shared" si="199"/>
        <v>-24.7131196927825+6.14804864902576i</v>
      </c>
      <c r="AQ309" s="98">
        <f t="shared" si="200"/>
        <v>28.119346157308662</v>
      </c>
      <c r="AR309" s="169">
        <f t="shared" si="201"/>
        <v>166.02974186361453</v>
      </c>
      <c r="AS309" s="168" t="str">
        <f t="shared" si="202"/>
        <v>0.0100583325938198+0.376345826483252i</v>
      </c>
      <c r="AT309" s="190">
        <f t="shared" si="203"/>
        <v>-8.4851568773627246</v>
      </c>
      <c r="AU309" s="169">
        <f t="shared" si="204"/>
        <v>88.46906008071619</v>
      </c>
      <c r="AV309" s="225"/>
      <c r="AX309">
        <f t="shared" si="205"/>
        <v>0</v>
      </c>
      <c r="AY309">
        <f t="shared" si="206"/>
        <v>0</v>
      </c>
    </row>
    <row r="310" spans="14:51" x14ac:dyDescent="0.2">
      <c r="N310" s="170">
        <v>92</v>
      </c>
      <c r="O310" s="199">
        <f t="shared" si="207"/>
        <v>8317.6377110267094</v>
      </c>
      <c r="P310" s="189" t="str">
        <f t="shared" si="173"/>
        <v>771.276595744681</v>
      </c>
      <c r="Q310" s="160" t="str">
        <f t="shared" si="174"/>
        <v>1+53306.4842374932i</v>
      </c>
      <c r="R310" s="160">
        <f t="shared" si="182"/>
        <v>53306.484246872918</v>
      </c>
      <c r="S310" s="160">
        <f t="shared" si="183"/>
        <v>1.5707775673510094</v>
      </c>
      <c r="T310" s="160" t="str">
        <f t="shared" si="175"/>
        <v>1+0.0125427021735278i</v>
      </c>
      <c r="U310" s="160">
        <f t="shared" si="184"/>
        <v>1.0000786565954769</v>
      </c>
      <c r="V310" s="160">
        <f t="shared" si="185"/>
        <v>1.254204449890498E-2</v>
      </c>
      <c r="W310" s="98" t="str">
        <f t="shared" si="176"/>
        <v>1-0.0355376561583288i</v>
      </c>
      <c r="X310" s="160">
        <f t="shared" si="186"/>
        <v>1.0006312632559646</v>
      </c>
      <c r="Y310" s="160">
        <f t="shared" si="187"/>
        <v>-3.5522707019616344E-2</v>
      </c>
      <c r="Z310" s="98" t="str">
        <f t="shared" si="177"/>
        <v>0.972326761163242-0.243319657449652i</v>
      </c>
      <c r="AA310" s="160">
        <f t="shared" si="188"/>
        <v>1.0023092268235467</v>
      </c>
      <c r="AB310" s="160">
        <f t="shared" si="189"/>
        <v>-0.24520899329872528</v>
      </c>
      <c r="AC310" s="171" t="str">
        <f t="shared" si="190"/>
        <v>0.00318413556296339-0.0140903380344965i</v>
      </c>
      <c r="AD310" s="190">
        <f t="shared" si="191"/>
        <v>-36.805267781848386</v>
      </c>
      <c r="AE310" s="169">
        <f t="shared" si="192"/>
        <v>-77.266179721221818</v>
      </c>
      <c r="AF310" s="98" t="str">
        <f t="shared" si="178"/>
        <v>-0.0000119284294234592</v>
      </c>
      <c r="AG310" s="98" t="str">
        <f t="shared" si="179"/>
        <v>0.000292778025485573i</v>
      </c>
      <c r="AH310" s="98">
        <f t="shared" si="193"/>
        <v>2.9277802548557301E-4</v>
      </c>
      <c r="AI310" s="98">
        <f t="shared" si="194"/>
        <v>1.5707963267948966</v>
      </c>
      <c r="AJ310" s="98" t="str">
        <f t="shared" si="180"/>
        <v>1+0.252845161804959i</v>
      </c>
      <c r="AK310" s="98">
        <f t="shared" si="195"/>
        <v>1.0314701526695651</v>
      </c>
      <c r="AL310" s="98">
        <f t="shared" si="196"/>
        <v>0.24765466463204203</v>
      </c>
      <c r="AM310" s="98" t="str">
        <f t="shared" si="181"/>
        <v>1+643.858711574428i</v>
      </c>
      <c r="AN310" s="98">
        <f t="shared" si="197"/>
        <v>643.85948814184792</v>
      </c>
      <c r="AO310" s="98">
        <f t="shared" si="198"/>
        <v>1.5692431922671692</v>
      </c>
      <c r="AP310" s="168" t="str">
        <f t="shared" si="199"/>
        <v>-24.6462841318315+6.27243592841896i</v>
      </c>
      <c r="AQ310" s="98">
        <f t="shared" si="200"/>
        <v>28.107584446547214</v>
      </c>
      <c r="AR310" s="169">
        <f t="shared" si="201"/>
        <v>165.72144488640137</v>
      </c>
      <c r="AS310" s="168" t="str">
        <f t="shared" si="202"/>
        <v>0.00990363273207909+0.367246761017841i</v>
      </c>
      <c r="AT310" s="190">
        <f t="shared" si="203"/>
        <v>-8.6976833353011731</v>
      </c>
      <c r="AU310" s="169">
        <f t="shared" si="204"/>
        <v>88.455265165179554</v>
      </c>
      <c r="AV310" s="225"/>
      <c r="AX310">
        <f t="shared" si="205"/>
        <v>0</v>
      </c>
      <c r="AY310">
        <f t="shared" si="206"/>
        <v>0</v>
      </c>
    </row>
    <row r="311" spans="14:51" x14ac:dyDescent="0.2">
      <c r="N311" s="170">
        <v>93</v>
      </c>
      <c r="O311" s="199">
        <f t="shared" si="207"/>
        <v>8511.3803820237772</v>
      </c>
      <c r="P311" s="189" t="str">
        <f t="shared" si="173"/>
        <v>771.276595744681</v>
      </c>
      <c r="Q311" s="160" t="str">
        <f t="shared" si="174"/>
        <v>1+54548.1517633514i</v>
      </c>
      <c r="R311" s="160">
        <f t="shared" si="182"/>
        <v>54548.151772517616</v>
      </c>
      <c r="S311" s="160">
        <f t="shared" si="183"/>
        <v>1.5707779943680855</v>
      </c>
      <c r="T311" s="160" t="str">
        <f t="shared" si="175"/>
        <v>1+0.0128348592384356i</v>
      </c>
      <c r="U311" s="160">
        <f t="shared" si="184"/>
        <v>1.0000823634139693</v>
      </c>
      <c r="V311" s="160">
        <f t="shared" si="185"/>
        <v>1.2834154530515195E-2</v>
      </c>
      <c r="W311" s="98" t="str">
        <f t="shared" si="176"/>
        <v>1-0.0363654345089009i</v>
      </c>
      <c r="X311" s="160">
        <f t="shared" si="186"/>
        <v>1.0006610039503994</v>
      </c>
      <c r="Y311" s="160">
        <f t="shared" si="187"/>
        <v>-3.6349416789595121E-2</v>
      </c>
      <c r="Z311" s="98" t="str">
        <f t="shared" si="177"/>
        <v>0.971022561597-0.248987300352383i</v>
      </c>
      <c r="AA311" s="160">
        <f t="shared" si="188"/>
        <v>1.0024367764937434</v>
      </c>
      <c r="AB311" s="160">
        <f t="shared" si="189"/>
        <v>-0.25100960189282773</v>
      </c>
      <c r="AC311" s="171" t="str">
        <f t="shared" si="190"/>
        <v>0.00318381856776274-0.0137517370464066i</v>
      </c>
      <c r="AD311" s="190">
        <f t="shared" si="191"/>
        <v>-37.006082689347323</v>
      </c>
      <c r="AE311" s="169">
        <f t="shared" si="192"/>
        <v>-76.964484105186003</v>
      </c>
      <c r="AF311" s="98" t="str">
        <f t="shared" si="178"/>
        <v>-0.0000119284294234592</v>
      </c>
      <c r="AG311" s="98" t="str">
        <f t="shared" si="179"/>
        <v>0.000299597701773183i</v>
      </c>
      <c r="AH311" s="98">
        <f t="shared" si="193"/>
        <v>2.9959770177318299E-4</v>
      </c>
      <c r="AI311" s="98">
        <f t="shared" si="194"/>
        <v>1.5707963267948966</v>
      </c>
      <c r="AJ311" s="98" t="str">
        <f t="shared" si="180"/>
        <v>1+0.258734682207108i</v>
      </c>
      <c r="AK311" s="98">
        <f t="shared" si="195"/>
        <v>1.0329296373794361</v>
      </c>
      <c r="AL311" s="98">
        <f t="shared" si="196"/>
        <v>0.25318249539314308</v>
      </c>
      <c r="AM311" s="98" t="str">
        <f t="shared" si="181"/>
        <v>1+658.856107573028i</v>
      </c>
      <c r="AN311" s="98">
        <f t="shared" si="197"/>
        <v>658.85686646363604</v>
      </c>
      <c r="AO311" s="98">
        <f t="shared" si="198"/>
        <v>1.5692785458703224</v>
      </c>
      <c r="AP311" s="168" t="str">
        <f t="shared" si="199"/>
        <v>-24.5766850789959+6.39865562647183i</v>
      </c>
      <c r="AQ311" s="98">
        <f t="shared" si="200"/>
        <v>28.095302511644064</v>
      </c>
      <c r="AR311" s="169">
        <f t="shared" si="201"/>
        <v>165.40674912617891</v>
      </c>
      <c r="AS311" s="168" t="str">
        <f t="shared" si="202"/>
        <v>0.00974492333718607+0.358344269270977i</v>
      </c>
      <c r="AT311" s="190">
        <f t="shared" si="203"/>
        <v>-8.9107801777032556</v>
      </c>
      <c r="AU311" s="169">
        <f t="shared" si="204"/>
        <v>88.442265020992934</v>
      </c>
      <c r="AV311" s="225"/>
      <c r="AX311">
        <f t="shared" si="205"/>
        <v>0</v>
      </c>
      <c r="AY311">
        <f t="shared" si="206"/>
        <v>0</v>
      </c>
    </row>
    <row r="312" spans="14:51" x14ac:dyDescent="0.2">
      <c r="N312" s="170">
        <v>94</v>
      </c>
      <c r="O312" s="199">
        <f t="shared" si="207"/>
        <v>8709.6358995608189</v>
      </c>
      <c r="P312" s="189" t="str">
        <f t="shared" si="173"/>
        <v>771.276595744681</v>
      </c>
      <c r="Q312" s="160" t="str">
        <f t="shared" si="174"/>
        <v>1+55818.7414413045i</v>
      </c>
      <c r="R312" s="160">
        <f t="shared" si="182"/>
        <v>55818.74145026206</v>
      </c>
      <c r="S312" s="160">
        <f t="shared" si="183"/>
        <v>1.5707784116650663</v>
      </c>
      <c r="T312" s="160" t="str">
        <f t="shared" si="175"/>
        <v>1+0.013133821515601i</v>
      </c>
      <c r="U312" s="160">
        <f t="shared" si="184"/>
        <v>1.0000862449147092</v>
      </c>
      <c r="V312" s="160">
        <f t="shared" si="185"/>
        <v>1.3133066410976672E-2</v>
      </c>
      <c r="W312" s="98" t="str">
        <f t="shared" si="176"/>
        <v>1-0.0372124942942029i</v>
      </c>
      <c r="X312" s="160">
        <f t="shared" si="186"/>
        <v>1.0006921453332169</v>
      </c>
      <c r="Y312" s="160">
        <f t="shared" si="187"/>
        <v>-3.7195331639830388E-2</v>
      </c>
      <c r="Z312" s="98" t="str">
        <f t="shared" si="177"/>
        <v>0.969656896998833-0.254786959617497i</v>
      </c>
      <c r="AA312" s="160">
        <f t="shared" si="188"/>
        <v>1.0025721383963018</v>
      </c>
      <c r="AB312" s="160">
        <f t="shared" si="189"/>
        <v>-0.25695147061262974</v>
      </c>
      <c r="AC312" s="171" t="str">
        <f t="shared" si="190"/>
        <v>0.00318347637772409-0.013420387442786i</v>
      </c>
      <c r="AD312" s="190">
        <f t="shared" si="191"/>
        <v>-37.206951471423181</v>
      </c>
      <c r="AE312" s="169">
        <f t="shared" si="192"/>
        <v>-76.655404976025494</v>
      </c>
      <c r="AF312" s="98" t="str">
        <f t="shared" si="178"/>
        <v>-0.0000119284294234592</v>
      </c>
      <c r="AG312" s="98" t="str">
        <f t="shared" si="179"/>
        <v>0.000306576228727918i</v>
      </c>
      <c r="AH312" s="98">
        <f t="shared" si="193"/>
        <v>3.0657622872791798E-4</v>
      </c>
      <c r="AI312" s="98">
        <f t="shared" si="194"/>
        <v>1.5707963267948966</v>
      </c>
      <c r="AJ312" s="98" t="str">
        <f t="shared" si="180"/>
        <v>1+0.264761387162521i</v>
      </c>
      <c r="AK312" s="98">
        <f t="shared" si="195"/>
        <v>1.0344556984869977</v>
      </c>
      <c r="AL312" s="98">
        <f t="shared" si="196"/>
        <v>0.25882276155047146</v>
      </c>
      <c r="AM312" s="98" t="str">
        <f t="shared" si="181"/>
        <v>1+674.202837800854i</v>
      </c>
      <c r="AN312" s="98">
        <f t="shared" si="197"/>
        <v>674.20357941702207</v>
      </c>
      <c r="AO312" s="98">
        <f t="shared" si="198"/>
        <v>1.5693130947308847</v>
      </c>
      <c r="AP312" s="168" t="str">
        <f t="shared" si="199"/>
        <v>-24.5042259903147+6.52668139137798i</v>
      </c>
      <c r="AQ312" s="98">
        <f t="shared" si="200"/>
        <v>28.082478906877451</v>
      </c>
      <c r="AR312" s="169">
        <f t="shared" si="201"/>
        <v>165.08556518393073</v>
      </c>
      <c r="AS312" s="168" t="str">
        <f t="shared" si="202"/>
        <v>0.00958196839333454+0.349633742809993i</v>
      </c>
      <c r="AT312" s="190">
        <f t="shared" si="203"/>
        <v>-9.1244725645457319</v>
      </c>
      <c r="AU312" s="169">
        <f t="shared" si="204"/>
        <v>88.430160207905232</v>
      </c>
      <c r="AV312" s="225"/>
      <c r="AX312">
        <f t="shared" si="205"/>
        <v>0</v>
      </c>
      <c r="AY312">
        <f t="shared" si="206"/>
        <v>0</v>
      </c>
    </row>
    <row r="313" spans="14:51" x14ac:dyDescent="0.2">
      <c r="N313" s="170">
        <v>95</v>
      </c>
      <c r="O313" s="199">
        <f t="shared" si="207"/>
        <v>8912.5093813374679</v>
      </c>
      <c r="P313" s="189" t="str">
        <f t="shared" si="173"/>
        <v>771.276595744681</v>
      </c>
      <c r="Q313" s="160" t="str">
        <f t="shared" si="174"/>
        <v>1+57118.9269548182i</v>
      </c>
      <c r="R313" s="160">
        <f t="shared" si="182"/>
        <v>57118.926963571859</v>
      </c>
      <c r="S313" s="160">
        <f t="shared" si="183"/>
        <v>1.570778819463208</v>
      </c>
      <c r="T313" s="160" t="str">
        <f t="shared" si="175"/>
        <v>1+0.0134397475187807i</v>
      </c>
      <c r="U313" s="160">
        <f t="shared" si="184"/>
        <v>1.0000903093287969</v>
      </c>
      <c r="V313" s="160">
        <f t="shared" si="185"/>
        <v>1.3438938413544287E-2</v>
      </c>
      <c r="W313" s="98" t="str">
        <f t="shared" si="176"/>
        <v>1-0.0380792846365454i</v>
      </c>
      <c r="X313" s="160">
        <f t="shared" si="186"/>
        <v>1.0007247533255241</v>
      </c>
      <c r="Y313" s="160">
        <f t="shared" si="187"/>
        <v>-3.8060895240304919E-2</v>
      </c>
      <c r="Z313" s="98" t="str">
        <f t="shared" si="177"/>
        <v>0.968226870611029-0.260721710301104i</v>
      </c>
      <c r="AA313" s="160">
        <f t="shared" si="188"/>
        <v>1.0027158536672087</v>
      </c>
      <c r="AB313" s="160">
        <f t="shared" si="189"/>
        <v>-0.26303830276513823</v>
      </c>
      <c r="AC313" s="171" t="str">
        <f t="shared" si="190"/>
        <v>0.00318310667085358-0.013096110927632i</v>
      </c>
      <c r="AD313" s="190">
        <f t="shared" si="191"/>
        <v>-37.407878145714562</v>
      </c>
      <c r="AE313" s="169">
        <f t="shared" si="192"/>
        <v>-76.338746514583704</v>
      </c>
      <c r="AF313" s="98" t="str">
        <f t="shared" si="178"/>
        <v>-0.0000119284294234592</v>
      </c>
      <c r="AG313" s="98" t="str">
        <f t="shared" si="179"/>
        <v>0.00031371730645714i</v>
      </c>
      <c r="AH313" s="98">
        <f t="shared" si="193"/>
        <v>3.1371730645714002E-4</v>
      </c>
      <c r="AI313" s="98">
        <f t="shared" si="194"/>
        <v>1.5707963267948966</v>
      </c>
      <c r="AJ313" s="98" t="str">
        <f t="shared" si="180"/>
        <v>1+0.27092847210994i</v>
      </c>
      <c r="AK313" s="98">
        <f t="shared" si="195"/>
        <v>1.0360512714146084</v>
      </c>
      <c r="AL313" s="98">
        <f t="shared" si="196"/>
        <v>0.26457701759927965</v>
      </c>
      <c r="AM313" s="98" t="str">
        <f t="shared" si="181"/>
        <v>1+689.907039297412i</v>
      </c>
      <c r="AN313" s="98">
        <f t="shared" si="197"/>
        <v>689.90776403235293</v>
      </c>
      <c r="AO313" s="98">
        <f t="shared" si="198"/>
        <v>1.569346857166789</v>
      </c>
      <c r="AP313" s="168" t="str">
        <f t="shared" si="199"/>
        <v>-24.4288085394869+6.65648263370841i</v>
      </c>
      <c r="AQ313" s="98">
        <f t="shared" si="200"/>
        <v>28.069091443342366</v>
      </c>
      <c r="AR313" s="169">
        <f t="shared" si="201"/>
        <v>164.75780504317984</v>
      </c>
      <c r="AS313" s="168" t="str">
        <f t="shared" si="202"/>
        <v>0.00941453153585568+0.341110680738783i</v>
      </c>
      <c r="AT313" s="190">
        <f t="shared" si="203"/>
        <v>-9.338786702372186</v>
      </c>
      <c r="AU313" s="169">
        <f t="shared" si="204"/>
        <v>88.419058528596167</v>
      </c>
      <c r="AV313" s="225"/>
      <c r="AX313">
        <f t="shared" si="205"/>
        <v>0</v>
      </c>
      <c r="AY313">
        <f t="shared" si="206"/>
        <v>0</v>
      </c>
    </row>
    <row r="314" spans="14:51" x14ac:dyDescent="0.2">
      <c r="N314" s="170">
        <v>96</v>
      </c>
      <c r="O314" s="199">
        <f t="shared" si="207"/>
        <v>9120.1083935591087</v>
      </c>
      <c r="P314" s="189" t="str">
        <f t="shared" si="173"/>
        <v>771.276595744681</v>
      </c>
      <c r="Q314" s="160" t="str">
        <f t="shared" si="174"/>
        <v>1+58449.3976794617i</v>
      </c>
      <c r="R314" s="160">
        <f t="shared" si="182"/>
        <v>58449.397688016106</v>
      </c>
      <c r="S314" s="160">
        <f t="shared" si="183"/>
        <v>1.5707792179787308</v>
      </c>
      <c r="T314" s="160" t="str">
        <f t="shared" si="175"/>
        <v>1+0.013752799453991i</v>
      </c>
      <c r="U314" s="160">
        <f t="shared" si="184"/>
        <v>1.0000945652751152</v>
      </c>
      <c r="V314" s="160">
        <f t="shared" si="185"/>
        <v>1.3751932486537676E-2</v>
      </c>
      <c r="W314" s="98" t="str">
        <f t="shared" si="176"/>
        <v>1-0.0389662651196411i</v>
      </c>
      <c r="X314" s="160">
        <f t="shared" si="186"/>
        <v>1.0007588969463994</v>
      </c>
      <c r="Y314" s="160">
        <f t="shared" si="187"/>
        <v>-3.8946561333491274E-2</v>
      </c>
      <c r="Z314" s="98" t="str">
        <f t="shared" si="177"/>
        <v>0.966729449155893-0.266794699086573i</v>
      </c>
      <c r="AA314" s="160">
        <f t="shared" si="188"/>
        <v>1.0028685055010709</v>
      </c>
      <c r="AB314" s="160">
        <f t="shared" si="189"/>
        <v>-0.26927391413888585</v>
      </c>
      <c r="AC314" s="171" t="str">
        <f t="shared" si="190"/>
        <v>0.00318270691582094-0.0127787327996139i</v>
      </c>
      <c r="AD314" s="190">
        <f t="shared" si="191"/>
        <v>-37.608867059601529</v>
      </c>
      <c r="AE314" s="169">
        <f t="shared" si="192"/>
        <v>-76.014306823243942</v>
      </c>
      <c r="AF314" s="98" t="str">
        <f t="shared" si="178"/>
        <v>-0.0000119284294234592</v>
      </c>
      <c r="AG314" s="98" t="str">
        <f t="shared" si="179"/>
        <v>0.000321024721254785i</v>
      </c>
      <c r="AH314" s="98">
        <f t="shared" si="193"/>
        <v>3.21024721254785E-4</v>
      </c>
      <c r="AI314" s="98">
        <f t="shared" si="194"/>
        <v>1.5707963267948966</v>
      </c>
      <c r="AJ314" s="98" t="str">
        <f t="shared" si="180"/>
        <v>1+0.277239206919433i</v>
      </c>
      <c r="AK314" s="98">
        <f t="shared" si="195"/>
        <v>1.0377194119092676</v>
      </c>
      <c r="AL314" s="98">
        <f t="shared" si="196"/>
        <v>0.27044678964446833</v>
      </c>
      <c r="AM314" s="98" t="str">
        <f t="shared" si="181"/>
        <v>1+705.977038638204i</v>
      </c>
      <c r="AN314" s="98">
        <f t="shared" si="197"/>
        <v>705.97774687618039</v>
      </c>
      <c r="AO314" s="98">
        <f t="shared" si="198"/>
        <v>1.5693798510790182</v>
      </c>
      <c r="AP314" s="168" t="str">
        <f t="shared" si="199"/>
        <v>-24.3503327380275+6.7880242911787i</v>
      </c>
      <c r="AQ314" s="98">
        <f t="shared" si="200"/>
        <v>28.055117175801321</v>
      </c>
      <c r="AR314" s="169">
        <f t="shared" si="201"/>
        <v>164.42338229020694</v>
      </c>
      <c r="AS314" s="168" t="str">
        <f t="shared" si="202"/>
        <v>0.00924237624639999+0.332770687497239i</v>
      </c>
      <c r="AT314" s="190">
        <f t="shared" si="203"/>
        <v>-9.553749883800208</v>
      </c>
      <c r="AU314" s="169">
        <f t="shared" si="204"/>
        <v>88.409075466963017</v>
      </c>
      <c r="AV314" s="225"/>
      <c r="AX314">
        <f t="shared" si="205"/>
        <v>0</v>
      </c>
      <c r="AY314">
        <f t="shared" si="206"/>
        <v>0</v>
      </c>
    </row>
    <row r="315" spans="14:51" x14ac:dyDescent="0.2">
      <c r="N315" s="170">
        <v>97</v>
      </c>
      <c r="O315" s="199">
        <f t="shared" si="207"/>
        <v>9332.5430079699217</v>
      </c>
      <c r="P315" s="189" t="str">
        <f t="shared" si="173"/>
        <v>771.276595744681</v>
      </c>
      <c r="Q315" s="160" t="str">
        <f t="shared" si="174"/>
        <v>1+59810.8590484242i</v>
      </c>
      <c r="R315" s="160">
        <f t="shared" si="182"/>
        <v>59810.859056783884</v>
      </c>
      <c r="S315" s="160">
        <f t="shared" si="183"/>
        <v>1.5707796074229328</v>
      </c>
      <c r="T315" s="160" t="str">
        <f t="shared" si="175"/>
        <v>1+0.0140731433055116i</v>
      </c>
      <c r="U315" s="160">
        <f t="shared" si="184"/>
        <v>1.0000990217785923</v>
      </c>
      <c r="V315" s="160">
        <f t="shared" si="185"/>
        <v>1.4072214338115983E-2</v>
      </c>
      <c r="W315" s="98" t="str">
        <f t="shared" si="176"/>
        <v>1-0.0398739060322827i</v>
      </c>
      <c r="X315" s="160">
        <f t="shared" si="186"/>
        <v>1.0007946484580497</v>
      </c>
      <c r="Y315" s="160">
        <f t="shared" si="187"/>
        <v>-3.9852793950340831E-2</v>
      </c>
      <c r="Z315" s="98" t="str">
        <f t="shared" si="177"/>
        <v>0.965161456401757-0.273009145952942i</v>
      </c>
      <c r="AA315" s="160">
        <f t="shared" si="188"/>
        <v>1.0030307227086892</v>
      </c>
      <c r="AB315" s="160">
        <f t="shared" si="189"/>
        <v>-0.27566223708565629</v>
      </c>
      <c r="AC315" s="171" t="str">
        <f t="shared" si="190"/>
        <v>0.00318227435254778-0.0124680818522333i</v>
      </c>
      <c r="AD315" s="190">
        <f t="shared" si="191"/>
        <v>-37.809922918915468</v>
      </c>
      <c r="AE315" s="169">
        <f t="shared" si="192"/>
        <v>-75.68187769958908</v>
      </c>
      <c r="AF315" s="98" t="str">
        <f t="shared" si="178"/>
        <v>-0.0000119284294234592</v>
      </c>
      <c r="AG315" s="98" t="str">
        <f t="shared" si="179"/>
        <v>0.000328502347608904i</v>
      </c>
      <c r="AH315" s="98">
        <f t="shared" si="193"/>
        <v>3.28502347608904E-4</v>
      </c>
      <c r="AI315" s="98">
        <f t="shared" si="194"/>
        <v>1.5707963267948966</v>
      </c>
      <c r="AJ315" s="98" t="str">
        <f t="shared" si="180"/>
        <v>1+0.28369693762613i</v>
      </c>
      <c r="AK315" s="98">
        <f t="shared" si="195"/>
        <v>1.0394633001787241</v>
      </c>
      <c r="AL315" s="98">
        <f t="shared" si="196"/>
        <v>0.27643357135878782</v>
      </c>
      <c r="AM315" s="98" t="str">
        <f t="shared" si="181"/>
        <v>1+722.421356349593i</v>
      </c>
      <c r="AN315" s="98">
        <f t="shared" si="197"/>
        <v>722.42204846612049</v>
      </c>
      <c r="AO315" s="98">
        <f t="shared" si="198"/>
        <v>1.5694120939610934</v>
      </c>
      <c r="AP315" s="168" t="str">
        <f t="shared" si="199"/>
        <v>-24.2686970730413+6.9212665898076i</v>
      </c>
      <c r="AQ315" s="98">
        <f t="shared" si="200"/>
        <v>28.040532390518983</v>
      </c>
      <c r="AR315" s="169">
        <f t="shared" si="201"/>
        <v>164.08221234617264</v>
      </c>
      <c r="AS315" s="168" t="str">
        <f t="shared" si="202"/>
        <v>0.0090652660975581+0.324609470709624i</v>
      </c>
      <c r="AT315" s="190">
        <f t="shared" si="203"/>
        <v>-9.7693905283964924</v>
      </c>
      <c r="AU315" s="169">
        <f t="shared" si="204"/>
        <v>88.400334646583573</v>
      </c>
      <c r="AV315" s="225"/>
      <c r="AX315">
        <f t="shared" si="205"/>
        <v>0</v>
      </c>
      <c r="AY315">
        <f t="shared" si="206"/>
        <v>0</v>
      </c>
    </row>
    <row r="316" spans="14:51" x14ac:dyDescent="0.2">
      <c r="N316" s="170">
        <v>98</v>
      </c>
      <c r="O316" s="199">
        <f t="shared" si="207"/>
        <v>9549.9258602143691</v>
      </c>
      <c r="P316" s="189" t="str">
        <f t="shared" si="173"/>
        <v>771.276595744681</v>
      </c>
      <c r="Q316" s="160" t="str">
        <f t="shared" si="174"/>
        <v>1+61204.0329265444i</v>
      </c>
      <c r="R316" s="160">
        <f t="shared" si="182"/>
        <v>61204.032934713803</v>
      </c>
      <c r="S316" s="160">
        <f t="shared" si="183"/>
        <v>1.5707799880023026</v>
      </c>
      <c r="T316" s="160" t="str">
        <f t="shared" si="175"/>
        <v>1+0.0144009489238928i</v>
      </c>
      <c r="U316" s="160">
        <f t="shared" si="184"/>
        <v>1.0001036882893237</v>
      </c>
      <c r="V316" s="160">
        <f t="shared" si="185"/>
        <v>1.4399953522968162E-2</v>
      </c>
      <c r="W316" s="98" t="str">
        <f t="shared" si="176"/>
        <v>1-0.0408026886176962i</v>
      </c>
      <c r="X316" s="160">
        <f t="shared" si="186"/>
        <v>1.0008320835177262</v>
      </c>
      <c r="Y316" s="160">
        <f t="shared" si="187"/>
        <v>-4.078006762998334E-2</v>
      </c>
      <c r="Z316" s="98" t="str">
        <f t="shared" si="177"/>
        <v>0.963519566425764-0.279368345882199i</v>
      </c>
      <c r="AA316" s="160">
        <f t="shared" si="188"/>
        <v>1.0032031835905666</v>
      </c>
      <c r="AB316" s="160">
        <f t="shared" si="189"/>
        <v>-0.28220732474994081</v>
      </c>
      <c r="AC316" s="171" t="str">
        <f t="shared" si="190"/>
        <v>0.00318180597104882-0.0121639902758183i</v>
      </c>
      <c r="AD316" s="190">
        <f t="shared" si="191"/>
        <v>-38.011050819208151</v>
      </c>
      <c r="AE316" s="169">
        <f t="shared" si="192"/>
        <v>-75.34124440169802</v>
      </c>
      <c r="AF316" s="98" t="str">
        <f t="shared" si="178"/>
        <v>-0.0000119284294234592</v>
      </c>
      <c r="AG316" s="98" t="str">
        <f t="shared" si="179"/>
        <v>0.000336154150255967i</v>
      </c>
      <c r="AH316" s="98">
        <f t="shared" si="193"/>
        <v>3.3615415025596698E-4</v>
      </c>
      <c r="AI316" s="98">
        <f t="shared" si="194"/>
        <v>1.5707963267948966</v>
      </c>
      <c r="AJ316" s="98" t="str">
        <f t="shared" si="180"/>
        <v>1+0.290305088204329i</v>
      </c>
      <c r="AK316" s="98">
        <f t="shared" si="195"/>
        <v>1.0412862451013762</v>
      </c>
      <c r="AL316" s="98">
        <f t="shared" si="196"/>
        <v>0.28253881973026651</v>
      </c>
      <c r="AM316" s="98" t="str">
        <f t="shared" si="181"/>
        <v>1+739.248711426496i</v>
      </c>
      <c r="AN316" s="98">
        <f t="shared" si="197"/>
        <v>739.24938778854244</v>
      </c>
      <c r="AO316" s="98">
        <f t="shared" si="198"/>
        <v>1.5694436029083494</v>
      </c>
      <c r="AP316" s="168" t="str">
        <f t="shared" si="199"/>
        <v>-24.183798663717+7.05616480240607i</v>
      </c>
      <c r="AQ316" s="98">
        <f t="shared" si="200"/>
        <v>28.025312594217372</v>
      </c>
      <c r="AR316" s="169">
        <f t="shared" si="201"/>
        <v>163.73421271130235</v>
      </c>
      <c r="AS316" s="168" t="str">
        <f t="shared" si="202"/>
        <v>0.00888296505018157+0.316622839078801i</v>
      </c>
      <c r="AT316" s="190">
        <f t="shared" si="203"/>
        <v>-9.9857382249907864</v>
      </c>
      <c r="AU316" s="169">
        <f t="shared" si="204"/>
        <v>88.39296830960437</v>
      </c>
      <c r="AV316" s="225"/>
      <c r="AX316">
        <f t="shared" si="205"/>
        <v>0</v>
      </c>
      <c r="AY316">
        <f t="shared" si="206"/>
        <v>0</v>
      </c>
    </row>
    <row r="317" spans="14:51" x14ac:dyDescent="0.2">
      <c r="N317" s="170">
        <v>99</v>
      </c>
      <c r="O317" s="199">
        <f t="shared" si="207"/>
        <v>9772.3722095581161</v>
      </c>
      <c r="P317" s="189" t="str">
        <f t="shared" si="173"/>
        <v>771.276595744681</v>
      </c>
      <c r="Q317" s="160" t="str">
        <f t="shared" si="174"/>
        <v>1+62629.6579930534i</v>
      </c>
      <c r="R317" s="160">
        <f t="shared" si="182"/>
        <v>62629.658001036834</v>
      </c>
      <c r="S317" s="160">
        <f t="shared" si="183"/>
        <v>1.5707803599186281</v>
      </c>
      <c r="T317" s="160" t="str">
        <f t="shared" si="175"/>
        <v>1+0.0147363901160126i</v>
      </c>
      <c r="U317" s="160">
        <f t="shared" si="184"/>
        <v>1.0001085747025926</v>
      </c>
      <c r="V317" s="160">
        <f t="shared" si="185"/>
        <v>1.4735323530959113E-2</v>
      </c>
      <c r="W317" s="98" t="str">
        <f t="shared" si="176"/>
        <v>1-0.0417531053287022i</v>
      </c>
      <c r="X317" s="160">
        <f t="shared" si="186"/>
        <v>1.0008712813367111</v>
      </c>
      <c r="Y317" s="160">
        <f t="shared" si="187"/>
        <v>-4.1728867643130725E-2</v>
      </c>
      <c r="Z317" s="98" t="str">
        <f t="shared" si="177"/>
        <v>0.961800296559142-0.285875670606321i</v>
      </c>
      <c r="AA317" s="160">
        <f t="shared" si="188"/>
        <v>1.0033866201548969</v>
      </c>
      <c r="AB317" s="160">
        <f t="shared" si="189"/>
        <v>-0.28891335544678487</v>
      </c>
      <c r="AC317" s="171" t="str">
        <f t="shared" si="190"/>
        <v>0.00318129848837465-0.0118662935613599i</v>
      </c>
      <c r="AD317" s="190">
        <f t="shared" si="191"/>
        <v>-38.21225627980683</v>
      </c>
      <c r="AE317" s="169">
        <f t="shared" si="192"/>
        <v>-74.992185405041781</v>
      </c>
      <c r="AF317" s="98" t="str">
        <f t="shared" si="178"/>
        <v>-0.0000119284294234592</v>
      </c>
      <c r="AG317" s="98" t="str">
        <f t="shared" si="179"/>
        <v>0.000343984186283023i</v>
      </c>
      <c r="AH317" s="98">
        <f t="shared" si="193"/>
        <v>3.43984186283023E-4</v>
      </c>
      <c r="AI317" s="98">
        <f t="shared" si="194"/>
        <v>1.5707963267948966</v>
      </c>
      <c r="AJ317" s="98" t="str">
        <f t="shared" si="180"/>
        <v>1+0.297067162382936i</v>
      </c>
      <c r="AK317" s="98">
        <f t="shared" si="195"/>
        <v>1.0431916885051615</v>
      </c>
      <c r="AL317" s="98">
        <f t="shared" si="196"/>
        <v>0.28876395059700266</v>
      </c>
      <c r="AM317" s="98" t="str">
        <f t="shared" si="181"/>
        <v>1+756.468025955312i</v>
      </c>
      <c r="AN317" s="98">
        <f t="shared" si="197"/>
        <v>756.46868692149212</v>
      </c>
      <c r="AO317" s="98">
        <f t="shared" si="198"/>
        <v>1.5694743946269962</v>
      </c>
      <c r="AP317" s="168" t="str">
        <f t="shared" si="199"/>
        <v>-24.0955334376487+7.19266900547154i</v>
      </c>
      <c r="AQ317" s="98">
        <f t="shared" si="200"/>
        <v>28.009432504300527</v>
      </c>
      <c r="AR317" s="169">
        <f t="shared" si="201"/>
        <v>163.37930322124424</v>
      </c>
      <c r="AS317" s="168" t="str">
        <f t="shared" si="202"/>
        <v>0.00869523780684721+0.308806700323189i</v>
      </c>
      <c r="AT317" s="190">
        <f t="shared" si="203"/>
        <v>-10.202823775506289</v>
      </c>
      <c r="AU317" s="169">
        <f t="shared" si="204"/>
        <v>88.387117816202476</v>
      </c>
      <c r="AV317" s="225"/>
      <c r="AX317">
        <f t="shared" si="205"/>
        <v>0</v>
      </c>
      <c r="AY317">
        <f t="shared" si="206"/>
        <v>0</v>
      </c>
    </row>
    <row r="318" spans="14:51" x14ac:dyDescent="0.2">
      <c r="N318" s="170">
        <v>100</v>
      </c>
      <c r="O318" s="199">
        <f t="shared" si="207"/>
        <v>10000</v>
      </c>
      <c r="P318" s="189" t="str">
        <f t="shared" si="173"/>
        <v>771.276595744681</v>
      </c>
      <c r="Q318" s="160" t="str">
        <f t="shared" si="174"/>
        <v>1+64088.4901332318i</v>
      </c>
      <c r="R318" s="160">
        <f t="shared" si="182"/>
        <v>64088.490141033501</v>
      </c>
      <c r="S318" s="160">
        <f t="shared" si="183"/>
        <v>1.5707807233691045</v>
      </c>
      <c r="T318" s="160" t="str">
        <f t="shared" si="175"/>
        <v>1+0.015079644737231i</v>
      </c>
      <c r="U318" s="160">
        <f t="shared" si="184"/>
        <v>1.0001136913798356</v>
      </c>
      <c r="V318" s="160">
        <f t="shared" si="185"/>
        <v>1.5078501877772191E-2</v>
      </c>
      <c r="W318" s="98" t="str">
        <f t="shared" si="176"/>
        <v>1-0.0427256600888211i</v>
      </c>
      <c r="X318" s="160">
        <f t="shared" si="186"/>
        <v>1.0009123248466998</v>
      </c>
      <c r="Y318" s="160">
        <f t="shared" si="187"/>
        <v>-4.2699690219172866E-2</v>
      </c>
      <c r="Z318" s="98" t="str">
        <f t="shared" si="177"/>
        <v>0.96-0.292534570395009i</v>
      </c>
      <c r="AA318" s="160">
        <f t="shared" si="188"/>
        <v>1.0035818227111293</v>
      </c>
      <c r="AB318" s="160">
        <f t="shared" si="189"/>
        <v>-0.29578463718770553</v>
      </c>
      <c r="AC318" s="171" t="str">
        <f t="shared" si="190"/>
        <v>0.00318074832349562-0.0115748304062134i</v>
      </c>
      <c r="AD318" s="190">
        <f t="shared" si="191"/>
        <v>-38.413545280900166</v>
      </c>
      <c r="AE318" s="169">
        <f t="shared" si="192"/>
        <v>-74.634472150990575</v>
      </c>
      <c r="AF318" s="98" t="str">
        <f t="shared" si="178"/>
        <v>-0.0000119284294234592</v>
      </c>
      <c r="AG318" s="98" t="str">
        <f t="shared" si="179"/>
        <v>0.000351996607278815i</v>
      </c>
      <c r="AH318" s="98">
        <f t="shared" si="193"/>
        <v>3.51996607278815E-4</v>
      </c>
      <c r="AI318" s="98">
        <f t="shared" si="194"/>
        <v>1.5707963267948966</v>
      </c>
      <c r="AJ318" s="98" t="str">
        <f t="shared" si="180"/>
        <v>1+0.303986745503187i</v>
      </c>
      <c r="AK318" s="98">
        <f t="shared" si="195"/>
        <v>1.0451832095099975</v>
      </c>
      <c r="AL318" s="98">
        <f t="shared" si="196"/>
        <v>0.29511033396842207</v>
      </c>
      <c r="AM318" s="98" t="str">
        <f t="shared" si="181"/>
        <v>1+774.088429844525i</v>
      </c>
      <c r="AN318" s="98">
        <f t="shared" si="197"/>
        <v>774.08907576529077</v>
      </c>
      <c r="AO318" s="98">
        <f t="shared" si="198"/>
        <v>1.5695044854429776</v>
      </c>
      <c r="AP318" s="168" t="str">
        <f t="shared" si="199"/>
        <v>-24.0037963280652+7.3307238357049i</v>
      </c>
      <c r="AQ318" s="98">
        <f t="shared" si="200"/>
        <v>27.992866040502644</v>
      </c>
      <c r="AR318" s="169">
        <f t="shared" si="201"/>
        <v>163.0174063156478</v>
      </c>
      <c r="AS318" s="168" t="str">
        <f t="shared" si="202"/>
        <v>0.00850185022504669+0.30115705915307i</v>
      </c>
      <c r="AT318" s="190">
        <f t="shared" si="203"/>
        <v>-10.420679240397527</v>
      </c>
      <c r="AU318" s="169">
        <f t="shared" si="204"/>
        <v>88.382934164657243</v>
      </c>
      <c r="AV318" s="225"/>
      <c r="AX318">
        <f t="shared" si="205"/>
        <v>0</v>
      </c>
      <c r="AY318">
        <f t="shared" si="206"/>
        <v>0</v>
      </c>
    </row>
    <row r="319" spans="14:51" x14ac:dyDescent="0.2">
      <c r="N319" s="170">
        <v>1</v>
      </c>
      <c r="O319" s="199">
        <f>10^(4+(N319/100))</f>
        <v>10232.929922807549</v>
      </c>
      <c r="P319" s="189" t="str">
        <f t="shared" si="173"/>
        <v>771.276595744681</v>
      </c>
      <c r="Q319" s="160" t="str">
        <f t="shared" si="174"/>
        <v>1+65581.3028391904i</v>
      </c>
      <c r="R319" s="160">
        <f t="shared" si="182"/>
        <v>65581.30284681452</v>
      </c>
      <c r="S319" s="160">
        <f t="shared" si="183"/>
        <v>1.5707810785464382</v>
      </c>
      <c r="T319" s="160" t="str">
        <f t="shared" si="175"/>
        <v>1+0.0154308947856918i</v>
      </c>
      <c r="U319" s="160">
        <f t="shared" si="184"/>
        <v>1.0001190491705909</v>
      </c>
      <c r="V319" s="160">
        <f t="shared" si="185"/>
        <v>1.5429670197591241E-2</v>
      </c>
      <c r="W319" s="98" t="str">
        <f t="shared" si="176"/>
        <v>1-0.0437208685594602i</v>
      </c>
      <c r="X319" s="160">
        <f t="shared" si="186"/>
        <v>1.0009553008739169</v>
      </c>
      <c r="Y319" s="160">
        <f t="shared" si="187"/>
        <v>-4.3693042776944482E-2</v>
      </c>
      <c r="Z319" s="98" t="str">
        <f t="shared" si="177"/>
        <v>0.958114858077964-0.299348575885073i</v>
      </c>
      <c r="AA319" s="160">
        <f t="shared" si="188"/>
        <v>1.0037896448729575</v>
      </c>
      <c r="AB319" s="160">
        <f t="shared" si="189"/>
        <v>-0.30282561235316441</v>
      </c>
      <c r="AC319" s="171" t="str">
        <f t="shared" si="190"/>
        <v>0.00318015156995336-0.0112894426217042i</v>
      </c>
      <c r="AD319" s="190">
        <f t="shared" si="191"/>
        <v>-38.614924303919075</v>
      </c>
      <c r="AE319" s="169">
        <f t="shared" si="192"/>
        <v>-74.267868787020006</v>
      </c>
      <c r="AF319" s="98" t="str">
        <f t="shared" si="178"/>
        <v>-0.0000119284294234592</v>
      </c>
      <c r="AG319" s="98" t="str">
        <f t="shared" si="179"/>
        <v>0.000360195661535012i</v>
      </c>
      <c r="AH319" s="98">
        <f t="shared" si="193"/>
        <v>3.6019566153501199E-4</v>
      </c>
      <c r="AI319" s="98">
        <f t="shared" si="194"/>
        <v>1.5707963267948966</v>
      </c>
      <c r="AJ319" s="98" t="str">
        <f t="shared" si="180"/>
        <v>1+0.311067506419644i</v>
      </c>
      <c r="AK319" s="98">
        <f t="shared" si="195"/>
        <v>1.0472645289276894</v>
      </c>
      <c r="AL319" s="98">
        <f t="shared" si="196"/>
        <v>0.30157928913326315</v>
      </c>
      <c r="AM319" s="98" t="str">
        <f t="shared" si="181"/>
        <v>1+792.119265665514i</v>
      </c>
      <c r="AN319" s="98">
        <f t="shared" si="197"/>
        <v>792.11989688333995</v>
      </c>
      <c r="AO319" s="98">
        <f t="shared" si="198"/>
        <v>1.569533891310624</v>
      </c>
      <c r="AP319" s="168" t="str">
        <f t="shared" si="199"/>
        <v>-23.9084814930227+7.47026824751731i</v>
      </c>
      <c r="AQ319" s="98">
        <f t="shared" si="200"/>
        <v>27.97558631812403</v>
      </c>
      <c r="AR319" s="169">
        <f t="shared" si="201"/>
        <v>162.64844731895209</v>
      </c>
      <c r="AS319" s="168" t="str">
        <f t="shared" si="202"/>
        <v>0.00830256979384847+0.293670015282871i</v>
      </c>
      <c r="AT319" s="190">
        <f t="shared" si="203"/>
        <v>-10.639337985795061</v>
      </c>
      <c r="AU319" s="169">
        <f t="shared" si="204"/>
        <v>88.380578531932073</v>
      </c>
      <c r="AV319" s="225"/>
      <c r="AX319">
        <f t="shared" si="205"/>
        <v>0</v>
      </c>
      <c r="AY319">
        <f t="shared" si="206"/>
        <v>0</v>
      </c>
    </row>
    <row r="320" spans="14:51" x14ac:dyDescent="0.2">
      <c r="N320" s="170">
        <v>2</v>
      </c>
      <c r="O320" s="199">
        <f t="shared" ref="O320:O383" si="208">10^(4+(N320/100))</f>
        <v>10471.285480509003</v>
      </c>
      <c r="P320" s="189" t="str">
        <f t="shared" si="173"/>
        <v>771.276595744681</v>
      </c>
      <c r="Q320" s="160" t="str">
        <f t="shared" si="174"/>
        <v>1+67108.8876199855i</v>
      </c>
      <c r="R320" s="160">
        <f t="shared" si="182"/>
        <v>67108.887627436066</v>
      </c>
      <c r="S320" s="160">
        <f t="shared" si="183"/>
        <v>1.5707814256389485</v>
      </c>
      <c r="T320" s="160" t="str">
        <f t="shared" si="175"/>
        <v>1+0.0157903264988201i</v>
      </c>
      <c r="U320" s="160">
        <f t="shared" si="184"/>
        <v>1.0001246594354822</v>
      </c>
      <c r="V320" s="160">
        <f t="shared" si="185"/>
        <v>1.5789014337862593E-2</v>
      </c>
      <c r="W320" s="98" t="str">
        <f t="shared" si="176"/>
        <v>1-0.0447392584133236i</v>
      </c>
      <c r="X320" s="160">
        <f t="shared" si="186"/>
        <v>1.0010003003213206</v>
      </c>
      <c r="Y320" s="160">
        <f t="shared" si="187"/>
        <v>-4.4709444159134283E-2</v>
      </c>
      <c r="Z320" s="98" t="str">
        <f t="shared" si="177"/>
        <v>0.956140872154272-0.306321299952419i</v>
      </c>
      <c r="AA320" s="160">
        <f t="shared" si="188"/>
        <v>1.0040110090076064</v>
      </c>
      <c r="AB320" s="160">
        <f t="shared" si="189"/>
        <v>-0.31004086250861385</v>
      </c>
      <c r="AC320" s="171" t="str">
        <f t="shared" si="190"/>
        <v>0.00317950396609499-0.0110099750426908i</v>
      </c>
      <c r="AD320" s="190">
        <f t="shared" si="191"/>
        <v>-38.816400375500628</v>
      </c>
      <c r="AE320" s="169">
        <f t="shared" si="192"/>
        <v>-73.892131898778032</v>
      </c>
      <c r="AF320" s="98" t="str">
        <f t="shared" si="178"/>
        <v>-0.0000119284294234592</v>
      </c>
      <c r="AG320" s="98" t="str">
        <f t="shared" si="179"/>
        <v>0.000368585696298708i</v>
      </c>
      <c r="AH320" s="98">
        <f t="shared" si="193"/>
        <v>3.6858569629870798E-4</v>
      </c>
      <c r="AI320" s="98">
        <f t="shared" si="194"/>
        <v>1.5707963267948966</v>
      </c>
      <c r="AJ320" s="98" t="str">
        <f t="shared" si="180"/>
        <v>1+0.31831319944547i</v>
      </c>
      <c r="AK320" s="98">
        <f t="shared" si="195"/>
        <v>1.0494395137125396</v>
      </c>
      <c r="AL320" s="98">
        <f t="shared" si="196"/>
        <v>0.30817207955580767</v>
      </c>
      <c r="AM320" s="98" t="str">
        <f t="shared" si="181"/>
        <v>1+810.570093606098i</v>
      </c>
      <c r="AN320" s="98">
        <f t="shared" si="197"/>
        <v>810.57071045566317</v>
      </c>
      <c r="AO320" s="98">
        <f t="shared" si="198"/>
        <v>1.5695626278211121</v>
      </c>
      <c r="AP320" s="168" t="str">
        <f t="shared" si="199"/>
        <v>-23.8094825575667+7.61123527305126i</v>
      </c>
      <c r="AQ320" s="98">
        <f t="shared" si="200"/>
        <v>27.957565643025646</v>
      </c>
      <c r="AR320" s="169">
        <f t="shared" si="201"/>
        <v>162.27235473329495</v>
      </c>
      <c r="AS320" s="168" t="str">
        <f t="shared" si="202"/>
        <v>0.00809716617788947+0.28634176147574i</v>
      </c>
      <c r="AT320" s="190">
        <f t="shared" si="203"/>
        <v>-10.85883473247498</v>
      </c>
      <c r="AU320" s="169">
        <f t="shared" si="204"/>
        <v>88.380222834516928</v>
      </c>
      <c r="AV320" s="225"/>
      <c r="AX320">
        <f t="shared" si="205"/>
        <v>0</v>
      </c>
      <c r="AY320">
        <f t="shared" si="206"/>
        <v>0</v>
      </c>
    </row>
    <row r="321" spans="14:51" x14ac:dyDescent="0.2">
      <c r="N321" s="170">
        <v>3</v>
      </c>
      <c r="O321" s="199">
        <f t="shared" si="208"/>
        <v>10715.193052376071</v>
      </c>
      <c r="P321" s="189" t="str">
        <f t="shared" si="173"/>
        <v>771.276595744681</v>
      </c>
      <c r="Q321" s="160" t="str">
        <f t="shared" si="174"/>
        <v>1+68672.0544212878i</v>
      </c>
      <c r="R321" s="160">
        <f t="shared" si="182"/>
        <v>68672.054428568779</v>
      </c>
      <c r="S321" s="160">
        <f t="shared" si="183"/>
        <v>1.5707817648306688</v>
      </c>
      <c r="T321" s="160" t="str">
        <f t="shared" si="175"/>
        <v>1+0.0161581304520677i</v>
      </c>
      <c r="U321" s="160">
        <f t="shared" si="184"/>
        <v>1.0001305340702813</v>
      </c>
      <c r="V321" s="160">
        <f t="shared" si="185"/>
        <v>1.615672445618101E-2</v>
      </c>
      <c r="W321" s="98" t="str">
        <f t="shared" si="176"/>
        <v>1-0.0457813696141918i</v>
      </c>
      <c r="X321" s="160">
        <f t="shared" si="186"/>
        <v>1.0010474183592659</v>
      </c>
      <c r="Y321" s="160">
        <f t="shared" si="187"/>
        <v>-4.574942487030171E-2</v>
      </c>
      <c r="Z321" s="98" t="str">
        <f t="shared" si="177"/>
        <v>0.954073855140125-0.313456439627641i</v>
      </c>
      <c r="AA321" s="160">
        <f t="shared" si="188"/>
        <v>1.0042469121714923</v>
      </c>
      <c r="AB321" s="160">
        <f t="shared" si="189"/>
        <v>-0.31743511335949176</v>
      </c>
      <c r="AC321" s="171" t="str">
        <f t="shared" si="190"/>
        <v>0.00317880086269216-0.010736275439161i</v>
      </c>
      <c r="AD321" s="190">
        <f t="shared" si="191"/>
        <v>-39.017981115343908</v>
      </c>
      <c r="AE321" s="169">
        <f t="shared" si="192"/>
        <v>-73.507010234276805</v>
      </c>
      <c r="AF321" s="98" t="str">
        <f t="shared" si="178"/>
        <v>-0.0000119284294234592</v>
      </c>
      <c r="AG321" s="98" t="str">
        <f t="shared" si="179"/>
        <v>0.00037717116007739i</v>
      </c>
      <c r="AH321" s="98">
        <f t="shared" si="193"/>
        <v>3.7717116007739002E-4</v>
      </c>
      <c r="AI321" s="98">
        <f t="shared" si="194"/>
        <v>1.5707963267948966</v>
      </c>
      <c r="AJ321" s="98" t="str">
        <f t="shared" si="180"/>
        <v>1+0.325727666343016i</v>
      </c>
      <c r="AK321" s="98">
        <f t="shared" si="195"/>
        <v>1.0517121814552055</v>
      </c>
      <c r="AL321" s="98">
        <f t="shared" si="196"/>
        <v>0.31488990756329172</v>
      </c>
      <c r="AM321" s="98" t="str">
        <f t="shared" si="181"/>
        <v>1+829.450696539475i</v>
      </c>
      <c r="AN321" s="98">
        <f t="shared" si="197"/>
        <v>829.45129934784006</v>
      </c>
      <c r="AO321" s="98">
        <f t="shared" si="198"/>
        <v>1.5695907102107305</v>
      </c>
      <c r="AP321" s="168" t="str">
        <f t="shared" si="199"/>
        <v>-23.7066928798088+7.75355178640388i</v>
      </c>
      <c r="AQ321" s="98">
        <f t="shared" si="200"/>
        <v>27.938775508561417</v>
      </c>
      <c r="AR321" s="169">
        <f t="shared" si="201"/>
        <v>161.88906054337514</v>
      </c>
      <c r="AS321" s="168" t="str">
        <f t="shared" si="202"/>
        <v>0.00788541183271656+0.279168581616773i</v>
      </c>
      <c r="AT321" s="190">
        <f t="shared" si="203"/>
        <v>-11.079205606782494</v>
      </c>
      <c r="AU321" s="169">
        <f t="shared" si="204"/>
        <v>88.382050309098346</v>
      </c>
      <c r="AV321" s="225"/>
      <c r="AX321">
        <f t="shared" si="205"/>
        <v>0</v>
      </c>
      <c r="AY321">
        <f t="shared" si="206"/>
        <v>0</v>
      </c>
    </row>
    <row r="322" spans="14:51" x14ac:dyDescent="0.2">
      <c r="N322" s="170">
        <v>4</v>
      </c>
      <c r="O322" s="199">
        <f t="shared" si="208"/>
        <v>10964.781961431856</v>
      </c>
      <c r="P322" s="189" t="str">
        <f t="shared" si="173"/>
        <v>771.276595744681</v>
      </c>
      <c r="Q322" s="160" t="str">
        <f t="shared" si="174"/>
        <v>1+70271.6320548263i</v>
      </c>
      <c r="R322" s="160">
        <f t="shared" si="182"/>
        <v>70271.632061941549</v>
      </c>
      <c r="S322" s="160">
        <f t="shared" si="183"/>
        <v>1.5707820963014429</v>
      </c>
      <c r="T322" s="160" t="str">
        <f t="shared" si="175"/>
        <v>1+0.0165345016599591i</v>
      </c>
      <c r="U322" s="160">
        <f t="shared" si="184"/>
        <v>1.0001366855311045</v>
      </c>
      <c r="V322" s="160">
        <f t="shared" si="185"/>
        <v>1.6532995119343405E-2</v>
      </c>
      <c r="W322" s="98" t="str">
        <f t="shared" si="176"/>
        <v>1-0.0468477547032175i</v>
      </c>
      <c r="X322" s="160">
        <f t="shared" si="186"/>
        <v>1.0010967546250127</v>
      </c>
      <c r="Y322" s="160">
        <f t="shared" si="187"/>
        <v>-4.6813527318453424E-2</v>
      </c>
      <c r="Z322" s="98" t="str">
        <f t="shared" si="177"/>
        <v>0.951909422615303-0.320757778056241i</v>
      </c>
      <c r="AA322" s="160">
        <f t="shared" si="188"/>
        <v>1.0044984325758683</v>
      </c>
      <c r="AB322" s="160">
        <f t="shared" si="189"/>
        <v>-0.32501323983854719</v>
      </c>
      <c r="AC322" s="171" t="str">
        <f t="shared" si="190"/>
        <v>0.00317803718773516-0.0104681944299586i</v>
      </c>
      <c r="AD322" s="190">
        <f t="shared" si="191"/>
        <v>-39.219674788291613</v>
      </c>
      <c r="AE322" s="169">
        <f t="shared" si="192"/>
        <v>-73.112244420581845</v>
      </c>
      <c r="AF322" s="98" t="str">
        <f t="shared" si="178"/>
        <v>-0.0000119284294234592</v>
      </c>
      <c r="AG322" s="98" t="str">
        <f t="shared" si="179"/>
        <v>0.000385956604997596i</v>
      </c>
      <c r="AH322" s="98">
        <f t="shared" si="193"/>
        <v>3.8595660499759598E-4</v>
      </c>
      <c r="AI322" s="98">
        <f t="shared" si="194"/>
        <v>1.5707963267948966</v>
      </c>
      <c r="AJ322" s="98" t="str">
        <f t="shared" si="180"/>
        <v>1+0.333314838360772i</v>
      </c>
      <c r="AK322" s="98">
        <f t="shared" si="195"/>
        <v>1.0540867049116347</v>
      </c>
      <c r="AL322" s="98">
        <f t="shared" si="196"/>
        <v>0.32173390882898073</v>
      </c>
      <c r="AM322" s="98" t="str">
        <f t="shared" si="181"/>
        <v>1+848.771085211235i</v>
      </c>
      <c r="AN322" s="98">
        <f t="shared" si="197"/>
        <v>848.77167429801602</v>
      </c>
      <c r="AO322" s="98">
        <f t="shared" si="198"/>
        <v>1.5696181533689564</v>
      </c>
      <c r="AP322" s="168" t="str">
        <f t="shared" si="199"/>
        <v>-23.6000058417839+7.89713827390671i</v>
      </c>
      <c r="AQ322" s="98">
        <f t="shared" si="200"/>
        <v>27.919186594634287</v>
      </c>
      <c r="AR322" s="169">
        <f t="shared" si="201"/>
        <v>161.49850053301174</v>
      </c>
      <c r="AS322" s="168" t="str">
        <f t="shared" si="202"/>
        <v>0.00766708269556683+0.272146848811115i</v>
      </c>
      <c r="AT322" s="190">
        <f t="shared" si="203"/>
        <v>-11.300488193657321</v>
      </c>
      <c r="AU322" s="169">
        <f t="shared" si="204"/>
        <v>88.386256112429891</v>
      </c>
      <c r="AV322" s="225"/>
      <c r="AX322">
        <f t="shared" si="205"/>
        <v>0</v>
      </c>
      <c r="AY322">
        <f t="shared" si="206"/>
        <v>0</v>
      </c>
    </row>
    <row r="323" spans="14:51" x14ac:dyDescent="0.2">
      <c r="N323" s="170">
        <v>5</v>
      </c>
      <c r="O323" s="199">
        <f t="shared" si="208"/>
        <v>11220.184543019639</v>
      </c>
      <c r="P323" s="189" t="str">
        <f t="shared" si="173"/>
        <v>771.276595744681</v>
      </c>
      <c r="Q323" s="160" t="str">
        <f t="shared" si="174"/>
        <v>1+71908.4686378354i</v>
      </c>
      <c r="R323" s="160">
        <f t="shared" si="182"/>
        <v>71908.468644788663</v>
      </c>
      <c r="S323" s="160">
        <f t="shared" si="183"/>
        <v>1.5707824202270211</v>
      </c>
      <c r="T323" s="160" t="str">
        <f t="shared" si="175"/>
        <v>1+0.0169196396794907i</v>
      </c>
      <c r="U323" s="160">
        <f t="shared" si="184"/>
        <v>1.0001431268607928</v>
      </c>
      <c r="V323" s="160">
        <f t="shared" si="185"/>
        <v>1.691802540461345E-2</v>
      </c>
      <c r="W323" s="98" t="str">
        <f t="shared" si="176"/>
        <v>1-0.0479389790918902i</v>
      </c>
      <c r="X323" s="160">
        <f t="shared" si="186"/>
        <v>1.0011484134314814</v>
      </c>
      <c r="Y323" s="160">
        <f t="shared" si="187"/>
        <v>-4.7902306060124425E-2</v>
      </c>
      <c r="Z323" s="98" t="str">
        <f t="shared" si="177"/>
        <v>0.949642983528233-0.328229186504497i</v>
      </c>
      <c r="AA323" s="160">
        <f t="shared" si="188"/>
        <v>1.0047667366298545</v>
      </c>
      <c r="AB323" s="160">
        <f t="shared" si="189"/>
        <v>-0.3327802713165246</v>
      </c>
      <c r="AC323" s="171" t="str">
        <f t="shared" si="190"/>
        <v>0.00317720740817831-0.0102055853987617i</v>
      </c>
      <c r="AD323" s="190">
        <f t="shared" si="191"/>
        <v>-39.421490360998312</v>
      </c>
      <c r="AE323" s="169">
        <f t="shared" si="192"/>
        <v>-72.707566673507472</v>
      </c>
      <c r="AF323" s="98" t="str">
        <f t="shared" si="178"/>
        <v>-0.0000119284294234592</v>
      </c>
      <c r="AG323" s="98" t="str">
        <f t="shared" si="179"/>
        <v>0.000394946689218511i</v>
      </c>
      <c r="AH323" s="98">
        <f t="shared" si="193"/>
        <v>3.9494668921851101E-4</v>
      </c>
      <c r="AI323" s="98">
        <f t="shared" si="194"/>
        <v>1.5707963267948966</v>
      </c>
      <c r="AJ323" s="98" t="str">
        <f t="shared" si="180"/>
        <v>1+0.34107873831777i</v>
      </c>
      <c r="AK323" s="98">
        <f t="shared" si="195"/>
        <v>1.0565674165581871</v>
      </c>
      <c r="AL323" s="98">
        <f t="shared" si="196"/>
        <v>0.32870514665710648</v>
      </c>
      <c r="AM323" s="98" t="str">
        <f t="shared" si="181"/>
        <v>1+868.541503547188i</v>
      </c>
      <c r="AN323" s="98">
        <f t="shared" si="197"/>
        <v>868.54207922472585</v>
      </c>
      <c r="AO323" s="98">
        <f t="shared" si="198"/>
        <v>1.5696449718463499</v>
      </c>
      <c r="AP323" s="168" t="str">
        <f t="shared" si="199"/>
        <v>-23.48931516585+8.04190861248708i</v>
      </c>
      <c r="AQ323" s="98">
        <f t="shared" si="200"/>
        <v>27.898768769067459</v>
      </c>
      <c r="AR323" s="169">
        <f t="shared" si="201"/>
        <v>161.10061461304591</v>
      </c>
      <c r="AS323" s="168" t="str">
        <f t="shared" si="202"/>
        <v>0.00744195895580035+0.265273023502997i</v>
      </c>
      <c r="AT323" s="190">
        <f t="shared" si="203"/>
        <v>-11.522721591930868</v>
      </c>
      <c r="AU323" s="169">
        <f t="shared" si="204"/>
        <v>88.39304793953842</v>
      </c>
      <c r="AV323" s="225"/>
      <c r="AX323">
        <f t="shared" si="205"/>
        <v>0</v>
      </c>
      <c r="AY323">
        <f t="shared" si="206"/>
        <v>0</v>
      </c>
    </row>
    <row r="324" spans="14:51" x14ac:dyDescent="0.2">
      <c r="N324" s="170">
        <v>6</v>
      </c>
      <c r="O324" s="199">
        <f t="shared" si="208"/>
        <v>11481.536214968832</v>
      </c>
      <c r="P324" s="189" t="str">
        <f t="shared" si="173"/>
        <v>771.276595744681</v>
      </c>
      <c r="Q324" s="160" t="str">
        <f t="shared" si="174"/>
        <v>1+73583.4320427374i</v>
      </c>
      <c r="R324" s="160">
        <f t="shared" si="182"/>
        <v>73583.432049532406</v>
      </c>
      <c r="S324" s="160">
        <f t="shared" si="183"/>
        <v>1.5707827367791529</v>
      </c>
      <c r="T324" s="160" t="str">
        <f t="shared" si="175"/>
        <v>1+0.0173137487159382i</v>
      </c>
      <c r="U324" s="160">
        <f t="shared" si="184"/>
        <v>1.0001498717165336</v>
      </c>
      <c r="V324" s="160">
        <f t="shared" si="185"/>
        <v>1.7312019003241974E-2</v>
      </c>
      <c r="W324" s="98" t="str">
        <f t="shared" si="176"/>
        <v>1-0.0490556213618248i</v>
      </c>
      <c r="X324" s="160">
        <f t="shared" si="186"/>
        <v>1.0012025039856796</v>
      </c>
      <c r="Y324" s="160">
        <f t="shared" si="187"/>
        <v>-4.9016328048896891E-2</v>
      </c>
      <c r="Z324" s="98" t="str">
        <f t="shared" si="177"/>
        <v>0.947269730457744-0.335874626412064i</v>
      </c>
      <c r="AA324" s="160">
        <f t="shared" si="188"/>
        <v>1.0050530866123095</v>
      </c>
      <c r="AB324" s="160">
        <f t="shared" si="189"/>
        <v>-0.34074139692458727</v>
      </c>
      <c r="AC324" s="171" t="str">
        <f t="shared" si="190"/>
        <v>0.00317630548840172-0.00994830441246513i</v>
      </c>
      <c r="AD324" s="190">
        <f t="shared" si="191"/>
        <v>-39.623437563571329</v>
      </c>
      <c r="AE324" s="169">
        <f t="shared" si="192"/>
        <v>-72.292700500978015</v>
      </c>
      <c r="AF324" s="98" t="str">
        <f t="shared" si="178"/>
        <v>-0.0000119284294234592</v>
      </c>
      <c r="AG324" s="98" t="str">
        <f t="shared" si="179"/>
        <v>0.000404146179401787i</v>
      </c>
      <c r="AH324" s="98">
        <f t="shared" si="193"/>
        <v>4.0414617940178702E-4</v>
      </c>
      <c r="AI324" s="98">
        <f t="shared" si="194"/>
        <v>1.5707963267948966</v>
      </c>
      <c r="AJ324" s="98" t="str">
        <f t="shared" si="180"/>
        <v>1+0.349023482736535i</v>
      </c>
      <c r="AK324" s="98">
        <f t="shared" si="195"/>
        <v>1.0591588131633236</v>
      </c>
      <c r="AL324" s="98">
        <f t="shared" si="196"/>
        <v>0.33580460607770218</v>
      </c>
      <c r="AM324" s="98" t="str">
        <f t="shared" si="181"/>
        <v>1+888.772434084827i</v>
      </c>
      <c r="AN324" s="98">
        <f t="shared" si="197"/>
        <v>888.77299665835267</v>
      </c>
      <c r="AO324" s="98">
        <f t="shared" si="198"/>
        <v>1.5696711798622687</v>
      </c>
      <c r="AP324" s="168" t="str">
        <f t="shared" si="199"/>
        <v>-23.3745152572718+8.18776985830828i</v>
      </c>
      <c r="AQ324" s="98">
        <f t="shared" si="200"/>
        <v>27.87749109148821</v>
      </c>
      <c r="AR324" s="169">
        <f t="shared" si="201"/>
        <v>160.69534716012282</v>
      </c>
      <c r="AS324" s="168" t="str">
        <f t="shared" si="202"/>
        <v>0.0072098259092551+0.258543651611865i</v>
      </c>
      <c r="AT324" s="190">
        <f t="shared" si="203"/>
        <v>-11.745946472083125</v>
      </c>
      <c r="AU324" s="169">
        <f t="shared" si="204"/>
        <v>88.402646659144793</v>
      </c>
      <c r="AV324" s="225"/>
      <c r="AX324">
        <f t="shared" si="205"/>
        <v>0</v>
      </c>
      <c r="AY324">
        <f t="shared" si="206"/>
        <v>0</v>
      </c>
    </row>
    <row r="325" spans="14:51" x14ac:dyDescent="0.2">
      <c r="N325" s="170">
        <v>7</v>
      </c>
      <c r="O325" s="199">
        <f t="shared" si="208"/>
        <v>11748.975549395318</v>
      </c>
      <c r="P325" s="189" t="str">
        <f t="shared" si="173"/>
        <v>771.276595744681</v>
      </c>
      <c r="Q325" s="160" t="str">
        <f t="shared" si="174"/>
        <v>1+75297.4103573004i</v>
      </c>
      <c r="R325" s="160">
        <f t="shared" si="182"/>
        <v>75297.41036394074</v>
      </c>
      <c r="S325" s="160">
        <f t="shared" si="183"/>
        <v>1.5707830461256784</v>
      </c>
      <c r="T325" s="160" t="str">
        <f t="shared" si="175"/>
        <v>1+0.0177170377311295i</v>
      </c>
      <c r="U325" s="160">
        <f t="shared" si="184"/>
        <v>1.0001569343987804</v>
      </c>
      <c r="V325" s="160">
        <f t="shared" si="185"/>
        <v>1.771518432628947E-2</v>
      </c>
      <c r="W325" s="98" t="str">
        <f t="shared" si="176"/>
        <v>1-0.0501982735715335i</v>
      </c>
      <c r="X325" s="160">
        <f t="shared" si="186"/>
        <v>1.0012591406172342</v>
      </c>
      <c r="Y325" s="160">
        <f t="shared" si="187"/>
        <v>-5.0156172887278465E-2</v>
      </c>
      <c r="Z325" s="98" t="str">
        <f t="shared" si="177"/>
        <v>0.944784629415884-0.343698151492382i</v>
      </c>
      <c r="AA325" s="160">
        <f t="shared" si="188"/>
        <v>1.00535884902844</v>
      </c>
      <c r="AB325" s="160">
        <f t="shared" si="189"/>
        <v>-0.3489019709736661</v>
      </c>
      <c r="AC325" s="171" t="str">
        <f t="shared" si="190"/>
        <v>0.00317532484514084-0.00969621014214817i</v>
      </c>
      <c r="AD325" s="190">
        <f t="shared" si="191"/>
        <v>-39.82552695660204</v>
      </c>
      <c r="AE325" s="169">
        <f t="shared" si="192"/>
        <v>-71.867360400894512</v>
      </c>
      <c r="AF325" s="98" t="str">
        <f t="shared" si="178"/>
        <v>-0.0000119284294234592</v>
      </c>
      <c r="AG325" s="98" t="str">
        <f t="shared" si="179"/>
        <v>0.00041355995323889i</v>
      </c>
      <c r="AH325" s="98">
        <f t="shared" si="193"/>
        <v>4.1355995323888998E-4</v>
      </c>
      <c r="AI325" s="98">
        <f t="shared" si="194"/>
        <v>1.5707963267948966</v>
      </c>
      <c r="AJ325" s="98" t="str">
        <f t="shared" si="180"/>
        <v>1+0.35715328402572i</v>
      </c>
      <c r="AK325" s="98">
        <f t="shared" si="195"/>
        <v>1.0618655603655092</v>
      </c>
      <c r="AL325" s="98">
        <f t="shared" si="196"/>
        <v>0.34303318776138936</v>
      </c>
      <c r="AM325" s="98" t="str">
        <f t="shared" si="181"/>
        <v>1+909.474603531314i</v>
      </c>
      <c r="AN325" s="98">
        <f t="shared" si="197"/>
        <v>909.47515329911062</v>
      </c>
      <c r="AO325" s="98">
        <f t="shared" si="198"/>
        <v>1.5696967913124056</v>
      </c>
      <c r="AP325" s="168" t="str">
        <f t="shared" si="199"/>
        <v>-23.2555015734876+8.33462204805561i</v>
      </c>
      <c r="AQ325" s="98">
        <f t="shared" si="200"/>
        <v>27.855321819926999</v>
      </c>
      <c r="AR325" s="169">
        <f t="shared" si="201"/>
        <v>160.28264736578203</v>
      </c>
      <c r="AS325" s="168" t="str">
        <f t="shared" si="202"/>
        <v>0.00697047490082149+0.251955362681643i</v>
      </c>
      <c r="AT325" s="190">
        <f t="shared" si="203"/>
        <v>-11.970205136675036</v>
      </c>
      <c r="AU325" s="169">
        <f t="shared" si="204"/>
        <v>88.4152869648875</v>
      </c>
      <c r="AV325" s="225"/>
      <c r="AX325">
        <f t="shared" si="205"/>
        <v>0</v>
      </c>
      <c r="AY325">
        <f t="shared" si="206"/>
        <v>0</v>
      </c>
    </row>
    <row r="326" spans="14:51" x14ac:dyDescent="0.2">
      <c r="N326" s="170">
        <v>8</v>
      </c>
      <c r="O326" s="199">
        <f t="shared" si="208"/>
        <v>12022.644346174151</v>
      </c>
      <c r="P326" s="189" t="str">
        <f t="shared" si="173"/>
        <v>771.276595744681</v>
      </c>
      <c r="Q326" s="160" t="str">
        <f t="shared" si="174"/>
        <v>1+77051.3123555137i</v>
      </c>
      <c r="R326" s="160">
        <f t="shared" si="182"/>
        <v>77051.312362002878</v>
      </c>
      <c r="S326" s="160">
        <f t="shared" si="183"/>
        <v>1.5707833484306173</v>
      </c>
      <c r="T326" s="160" t="str">
        <f t="shared" si="175"/>
        <v>1+0.0181297205542385i</v>
      </c>
      <c r="U326" s="160">
        <f t="shared" si="184"/>
        <v>1.0001643298815324</v>
      </c>
      <c r="V326" s="160">
        <f t="shared" si="185"/>
        <v>1.8127734612794603E-2</v>
      </c>
      <c r="W326" s="98" t="str">
        <f t="shared" si="176"/>
        <v>1-0.0513675415703424i</v>
      </c>
      <c r="X326" s="160">
        <f t="shared" si="186"/>
        <v>1.0013184430174953</v>
      </c>
      <c r="Y326" s="160">
        <f t="shared" si="187"/>
        <v>-5.1322433081847307E-2</v>
      </c>
      <c r="Z326" s="98" t="str">
        <f t="shared" si="177"/>
        <v>0.942182409170163-0.351703909882003i</v>
      </c>
      <c r="AA326" s="160">
        <f t="shared" si="188"/>
        <v>1.005685503711762</v>
      </c>
      <c r="AB326" s="160">
        <f t="shared" si="189"/>
        <v>-0.35726751845230614</v>
      </c>
      <c r="AC326" s="171" t="str">
        <f t="shared" si="190"/>
        <v>0.00317425829862427-0.0094491637868503i</v>
      </c>
      <c r="AD326" s="190">
        <f t="shared" si="191"/>
        <v>-40.027770004031389</v>
      </c>
      <c r="AE326" s="169">
        <f t="shared" si="192"/>
        <v>-71.431251554558528</v>
      </c>
      <c r="AF326" s="98" t="str">
        <f t="shared" si="178"/>
        <v>-0.0000119284294234592</v>
      </c>
      <c r="AG326" s="98" t="str">
        <f t="shared" si="179"/>
        <v>0.000423193002037312i</v>
      </c>
      <c r="AH326" s="98">
        <f t="shared" si="193"/>
        <v>4.2319300203731198E-4</v>
      </c>
      <c r="AI326" s="98">
        <f t="shared" si="194"/>
        <v>1.5707963267948966</v>
      </c>
      <c r="AJ326" s="98" t="str">
        <f t="shared" si="180"/>
        <v>1+0.365472452713577i</v>
      </c>
      <c r="AK326" s="98">
        <f t="shared" si="195"/>
        <v>1.0646924972462601</v>
      </c>
      <c r="AL326" s="98">
        <f t="shared" si="196"/>
        <v>0.35039170176631279</v>
      </c>
      <c r="AM326" s="98" t="str">
        <f t="shared" si="181"/>
        <v>1+930.65898845091i</v>
      </c>
      <c r="AN326" s="98">
        <f t="shared" si="197"/>
        <v>930.65952570447098</v>
      </c>
      <c r="AO326" s="98">
        <f t="shared" si="198"/>
        <v>1.5697218197761558</v>
      </c>
      <c r="AP326" s="168" t="str">
        <f t="shared" si="199"/>
        <v>-23.1321710203797+8.48235801540333i</v>
      </c>
      <c r="AQ326" s="98">
        <f t="shared" si="200"/>
        <v>27.832228420334928</v>
      </c>
      <c r="AR326" s="169">
        <f t="shared" si="201"/>
        <v>159.86246959515262</v>
      </c>
      <c r="AS326" s="168" t="str">
        <f t="shared" si="202"/>
        <v>0.00672370435961242+0.245504868039296i</v>
      </c>
      <c r="AT326" s="190">
        <f t="shared" si="203"/>
        <v>-12.195541583696464</v>
      </c>
      <c r="AU326" s="169">
        <f t="shared" si="204"/>
        <v>88.431218040594089</v>
      </c>
      <c r="AV326" s="225"/>
      <c r="AX326">
        <f t="shared" si="205"/>
        <v>0</v>
      </c>
      <c r="AY326">
        <f t="shared" si="206"/>
        <v>0</v>
      </c>
    </row>
    <row r="327" spans="14:51" x14ac:dyDescent="0.2">
      <c r="N327" s="170">
        <v>9</v>
      </c>
      <c r="O327" s="199">
        <f t="shared" si="208"/>
        <v>12302.687708123816</v>
      </c>
      <c r="P327" s="189" t="str">
        <f t="shared" si="173"/>
        <v>771.276595744681</v>
      </c>
      <c r="Q327" s="160" t="str">
        <f t="shared" si="174"/>
        <v>1+78846.0679794326i</v>
      </c>
      <c r="R327" s="160">
        <f t="shared" si="182"/>
        <v>78846.067985774062</v>
      </c>
      <c r="S327" s="160">
        <f t="shared" si="183"/>
        <v>1.5707836438542557</v>
      </c>
      <c r="T327" s="160" t="str">
        <f t="shared" si="175"/>
        <v>1+0.0185520159951606i</v>
      </c>
      <c r="U327" s="160">
        <f t="shared" si="184"/>
        <v>1.0001720738440385</v>
      </c>
      <c r="V327" s="160">
        <f t="shared" si="185"/>
        <v>1.8549888040336863E-2</v>
      </c>
      <c r="W327" s="98" t="str">
        <f t="shared" si="176"/>
        <v>1-0.0525640453196216i</v>
      </c>
      <c r="X327" s="160">
        <f t="shared" si="186"/>
        <v>1.0013805364896819</v>
      </c>
      <c r="Y327" s="160">
        <f t="shared" si="187"/>
        <v>-5.2515714301561336E-2</v>
      </c>
      <c r="Z327" s="98" t="str">
        <f t="shared" si="177"/>
        <v>0.939457550062551-0.359896146339996i</v>
      </c>
      <c r="AA327" s="160">
        <f t="shared" si="188"/>
        <v>1.0060346537370919</v>
      </c>
      <c r="AB327" s="160">
        <f t="shared" si="189"/>
        <v>-0.3658437405804203</v>
      </c>
      <c r="AC327" s="171" t="str">
        <f t="shared" si="190"/>
        <v>0.00317309801965-0.00920702900041437i</v>
      </c>
      <c r="AD327" s="190">
        <f t="shared" si="191"/>
        <v>-40.230179152327963</v>
      </c>
      <c r="AE327" s="169">
        <f t="shared" si="192"/>
        <v>-70.984069516935236</v>
      </c>
      <c r="AF327" s="98" t="str">
        <f t="shared" si="178"/>
        <v>-0.0000119284294234592</v>
      </c>
      <c r="AG327" s="98" t="str">
        <f t="shared" si="179"/>
        <v>0.000433050433367036i</v>
      </c>
      <c r="AH327" s="98">
        <f t="shared" si="193"/>
        <v>4.3305043336703598E-4</v>
      </c>
      <c r="AI327" s="98">
        <f t="shared" si="194"/>
        <v>1.5707963267948966</v>
      </c>
      <c r="AJ327" s="98" t="str">
        <f t="shared" si="180"/>
        <v>1+0.373985399733462i</v>
      </c>
      <c r="AK327" s="98">
        <f t="shared" si="195"/>
        <v>1.0676446408865627</v>
      </c>
      <c r="AL327" s="98">
        <f t="shared" si="196"/>
        <v>0.35788086113173551</v>
      </c>
      <c r="AM327" s="98" t="str">
        <f t="shared" si="181"/>
        <v>1+952.33682108491i</v>
      </c>
      <c r="AN327" s="98">
        <f t="shared" si="197"/>
        <v>952.3373461090938</v>
      </c>
      <c r="AO327" s="98">
        <f t="shared" si="198"/>
        <v>1.5697462785238165</v>
      </c>
      <c r="AP327" s="168" t="str">
        <f t="shared" si="199"/>
        <v>-23.0044223756831+8.63086322535904i</v>
      </c>
      <c r="AQ327" s="98">
        <f t="shared" si="200"/>
        <v>27.808177579228001</v>
      </c>
      <c r="AR327" s="169">
        <f t="shared" si="201"/>
        <v>159.43477375442617</v>
      </c>
      <c r="AS327" s="168" t="str">
        <f t="shared" si="202"/>
        <v>0.00646932093101839+0.239188958958952i</v>
      </c>
      <c r="AT327" s="190">
        <f t="shared" si="203"/>
        <v>-12.422001573099976</v>
      </c>
      <c r="AU327" s="169">
        <f t="shared" si="204"/>
        <v>88.450704237490939</v>
      </c>
      <c r="AV327" s="225"/>
      <c r="AX327">
        <f t="shared" si="205"/>
        <v>0</v>
      </c>
      <c r="AY327">
        <f t="shared" si="206"/>
        <v>0</v>
      </c>
    </row>
    <row r="328" spans="14:51" x14ac:dyDescent="0.2">
      <c r="N328" s="170">
        <v>10</v>
      </c>
      <c r="O328" s="199">
        <f t="shared" si="208"/>
        <v>12589.254117941671</v>
      </c>
      <c r="P328" s="189" t="str">
        <f t="shared" si="173"/>
        <v>771.276595744681</v>
      </c>
      <c r="Q328" s="160" t="str">
        <f t="shared" si="174"/>
        <v>1+80682.6288322452i</v>
      </c>
      <c r="R328" s="160">
        <f t="shared" si="182"/>
        <v>80682.628838442324</v>
      </c>
      <c r="S328" s="160">
        <f t="shared" si="183"/>
        <v>1.5707839325532311</v>
      </c>
      <c r="T328" s="160" t="str">
        <f t="shared" si="175"/>
        <v>1+0.0189841479605283i</v>
      </c>
      <c r="U328" s="160">
        <f t="shared" si="184"/>
        <v>1.0001801827039902</v>
      </c>
      <c r="V328" s="160">
        <f t="shared" si="185"/>
        <v>1.8981867838038562E-2</v>
      </c>
      <c r="W328" s="98" t="str">
        <f t="shared" si="176"/>
        <v>1-0.0537884192214967i</v>
      </c>
      <c r="X328" s="160">
        <f t="shared" si="186"/>
        <v>1.001445552210577</v>
      </c>
      <c r="Y328" s="160">
        <f t="shared" si="187"/>
        <v>-5.3736635639109319E-2</v>
      </c>
      <c r="Z328" s="98" t="str">
        <f t="shared" si="177"/>
        <v>0.936604272301555-0.368279204498566i</v>
      </c>
      <c r="AA328" s="160">
        <f t="shared" si="188"/>
        <v>1.0064080362157397</v>
      </c>
      <c r="AB328" s="160">
        <f t="shared" si="189"/>
        <v>-0.37463652039147199</v>
      </c>
      <c r="AC328" s="171" t="str">
        <f t="shared" si="190"/>
        <v>0.00317183547232028-0.00896967182170632i</v>
      </c>
      <c r="AD328" s="190">
        <f t="shared" si="191"/>
        <v>-40.432767916486902</v>
      </c>
      <c r="AE328" s="169">
        <f t="shared" si="192"/>
        <v>-70.525499905322704</v>
      </c>
      <c r="AF328" s="98" t="str">
        <f t="shared" si="178"/>
        <v>-0.0000119284294234592</v>
      </c>
      <c r="AG328" s="98" t="str">
        <f t="shared" si="179"/>
        <v>0.000443137473768632i</v>
      </c>
      <c r="AH328" s="98">
        <f t="shared" si="193"/>
        <v>4.4313747376863199E-4</v>
      </c>
      <c r="AI328" s="98">
        <f t="shared" si="194"/>
        <v>1.5707963267948966</v>
      </c>
      <c r="AJ328" s="98" t="str">
        <f t="shared" si="180"/>
        <v>1+0.382696638762568i</v>
      </c>
      <c r="AK328" s="98">
        <f t="shared" si="195"/>
        <v>1.070727190894192</v>
      </c>
      <c r="AL328" s="98">
        <f t="shared" si="196"/>
        <v>0.36550127533521076</v>
      </c>
      <c r="AM328" s="98" t="str">
        <f t="shared" si="181"/>
        <v>1+974.519595307118i</v>
      </c>
      <c r="AN328" s="98">
        <f t="shared" si="197"/>
        <v>974.52010838029878</v>
      </c>
      <c r="AO328" s="98">
        <f t="shared" si="198"/>
        <v>1.5697701805236226</v>
      </c>
      <c r="AP328" s="168" t="str">
        <f t="shared" si="199"/>
        <v>-22.8721567394355+8.78001562933219i</v>
      </c>
      <c r="AQ328" s="98">
        <f t="shared" si="200"/>
        <v>27.783135219663585</v>
      </c>
      <c r="AR328" s="169">
        <f t="shared" si="201"/>
        <v>158.99952566613624</v>
      </c>
      <c r="AS328" s="168" t="str">
        <f t="shared" si="202"/>
        <v>0.00620714070995114+0.233004504828007i</v>
      </c>
      <c r="AT328" s="190">
        <f t="shared" si="203"/>
        <v>-12.64963269682333</v>
      </c>
      <c r="AU328" s="169">
        <f t="shared" si="204"/>
        <v>88.474025760813561</v>
      </c>
      <c r="AV328" s="225"/>
      <c r="AX328">
        <f t="shared" si="205"/>
        <v>0</v>
      </c>
      <c r="AY328">
        <f t="shared" si="206"/>
        <v>0</v>
      </c>
    </row>
    <row r="329" spans="14:51" x14ac:dyDescent="0.2">
      <c r="N329" s="170">
        <v>11</v>
      </c>
      <c r="O329" s="199">
        <f t="shared" si="208"/>
        <v>12882.49551693136</v>
      </c>
      <c r="P329" s="189" t="str">
        <f t="shared" si="173"/>
        <v>771.276595744681</v>
      </c>
      <c r="Q329" s="160" t="str">
        <f t="shared" si="174"/>
        <v>1+82561.9686828258i</v>
      </c>
      <c r="R329" s="160">
        <f t="shared" si="182"/>
        <v>82561.96868888184</v>
      </c>
      <c r="S329" s="160">
        <f t="shared" si="183"/>
        <v>1.5707842146806157</v>
      </c>
      <c r="T329" s="160" t="str">
        <f t="shared" si="175"/>
        <v>1+0.0194263455724296i</v>
      </c>
      <c r="U329" s="160">
        <f t="shared" si="184"/>
        <v>1.0001886736522763</v>
      </c>
      <c r="V329" s="160">
        <f t="shared" si="185"/>
        <v>1.9423902402054452E-2</v>
      </c>
      <c r="W329" s="98" t="str">
        <f t="shared" si="176"/>
        <v>1-0.0550413124552171i</v>
      </c>
      <c r="X329" s="160">
        <f t="shared" si="186"/>
        <v>1.0015136275042855</v>
      </c>
      <c r="Y329" s="160">
        <f t="shared" si="187"/>
        <v>-5.4985829875168833E-2</v>
      </c>
      <c r="Z329" s="98" t="str">
        <f t="shared" si="177"/>
        <v>0.933616523702497-0.376857529166114i</v>
      </c>
      <c r="AA329" s="160">
        <f t="shared" si="188"/>
        <v>1.0068075340498421</v>
      </c>
      <c r="AB329" s="160">
        <f t="shared" si="189"/>
        <v>-0.38365192831017336</v>
      </c>
      <c r="AC329" s="171" t="str">
        <f t="shared" si="190"/>
        <v>0.00317046135214955-0.00873696060857125i</v>
      </c>
      <c r="AD329" s="190">
        <f t="shared" si="191"/>
        <v>-40.635550973391489</v>
      </c>
      <c r="AE329" s="169">
        <f t="shared" si="192"/>
        <v>-70.055218088301984</v>
      </c>
      <c r="AF329" s="98" t="str">
        <f t="shared" si="178"/>
        <v>-0.0000119284294234592</v>
      </c>
      <c r="AG329" s="98" t="str">
        <f t="shared" si="179"/>
        <v>0.000453459471524438i</v>
      </c>
      <c r="AH329" s="98">
        <f t="shared" si="193"/>
        <v>4.5345947152443801E-4</v>
      </c>
      <c r="AI329" s="98">
        <f t="shared" si="194"/>
        <v>1.5707963267948966</v>
      </c>
      <c r="AJ329" s="98" t="str">
        <f t="shared" si="180"/>
        <v>1+0.391610788615136i</v>
      </c>
      <c r="AK329" s="98">
        <f t="shared" si="195"/>
        <v>1.0739455338888322</v>
      </c>
      <c r="AL329" s="98">
        <f t="shared" si="196"/>
        <v>0.37325344363283791</v>
      </c>
      <c r="AM329" s="98" t="str">
        <f t="shared" si="181"/>
        <v>1+997.219072718052i</v>
      </c>
      <c r="AN329" s="98">
        <f t="shared" si="197"/>
        <v>997.21957411226708</v>
      </c>
      <c r="AO329" s="98">
        <f t="shared" si="198"/>
        <v>1.5697935384486212</v>
      </c>
      <c r="AP329" s="168" t="str">
        <f t="shared" si="199"/>
        <v>-22.7352780111263+8.92968554391451i</v>
      </c>
      <c r="AQ329" s="98">
        <f t="shared" si="200"/>
        <v>27.757066520755139</v>
      </c>
      <c r="AR329" s="169">
        <f t="shared" si="201"/>
        <v>158.55669745112777</v>
      </c>
      <c r="AS329" s="168" t="str">
        <f t="shared" si="202"/>
        <v>0.00593699057945779+0.226948451311956i</v>
      </c>
      <c r="AT329" s="190">
        <f t="shared" si="203"/>
        <v>-12.878484452636354</v>
      </c>
      <c r="AU329" s="169">
        <f t="shared" si="204"/>
        <v>88.501479362825776</v>
      </c>
      <c r="AV329" s="225"/>
      <c r="AX329">
        <f t="shared" si="205"/>
        <v>0</v>
      </c>
      <c r="AY329">
        <f t="shared" si="206"/>
        <v>0</v>
      </c>
    </row>
    <row r="330" spans="14:51" x14ac:dyDescent="0.2">
      <c r="N330" s="170">
        <v>12</v>
      </c>
      <c r="O330" s="199">
        <f t="shared" si="208"/>
        <v>13182.567385564091</v>
      </c>
      <c r="P330" s="189" t="str">
        <f t="shared" si="173"/>
        <v>771.276595744681</v>
      </c>
      <c r="Q330" s="160" t="str">
        <f t="shared" si="174"/>
        <v>1+84485.0839820387i</v>
      </c>
      <c r="R330" s="160">
        <f t="shared" si="182"/>
        <v>84485.083987956896</v>
      </c>
      <c r="S330" s="160">
        <f t="shared" si="183"/>
        <v>1.5707844903859967</v>
      </c>
      <c r="T330" s="160" t="str">
        <f t="shared" si="175"/>
        <v>1+0.0198788432898914i</v>
      </c>
      <c r="U330" s="160">
        <f t="shared" si="184"/>
        <v>1.0001975646893688</v>
      </c>
      <c r="V330" s="160">
        <f t="shared" si="185"/>
        <v>1.9876225413595808E-2</v>
      </c>
      <c r="W330" s="98" t="str">
        <f t="shared" si="176"/>
        <v>1-0.0563233893213591i</v>
      </c>
      <c r="X330" s="160">
        <f t="shared" si="186"/>
        <v>1.0015849061286044</v>
      </c>
      <c r="Y330" s="160">
        <f t="shared" si="187"/>
        <v>-5.626394374541787E-2</v>
      </c>
      <c r="Z330" s="98" t="str">
        <f t="shared" si="177"/>
        <v>0.930487966850025-0.385635668683924i</v>
      </c>
      <c r="AA330" s="160">
        <f t="shared" si="188"/>
        <v>1.0072351887290227</v>
      </c>
      <c r="AB330" s="160">
        <f t="shared" si="189"/>
        <v>-0.39289622768638233</v>
      </c>
      <c r="AC330" s="171" t="str">
        <f t="shared" si="190"/>
        <v>0.00316896551925492-0.00850876597594528i</v>
      </c>
      <c r="AD330" s="190">
        <f t="shared" si="191"/>
        <v>-40.838544263111558</v>
      </c>
      <c r="AE330" s="169">
        <f t="shared" si="192"/>
        <v>-69.572888877208939</v>
      </c>
      <c r="AF330" s="98" t="str">
        <f t="shared" si="178"/>
        <v>-0.0000119284294234592</v>
      </c>
      <c r="AG330" s="98" t="str">
        <f t="shared" si="179"/>
        <v>0.000464021899494292i</v>
      </c>
      <c r="AH330" s="98">
        <f t="shared" si="193"/>
        <v>4.6402189949429199E-4</v>
      </c>
      <c r="AI330" s="98">
        <f t="shared" si="194"/>
        <v>1.5707963267948966</v>
      </c>
      <c r="AJ330" s="98" t="str">
        <f t="shared" si="180"/>
        <v>1+0.400732575691408i</v>
      </c>
      <c r="AK330" s="98">
        <f t="shared" si="195"/>
        <v>1.077305247931277</v>
      </c>
      <c r="AL330" s="98">
        <f t="shared" si="196"/>
        <v>0.38113774830477071</v>
      </c>
      <c r="AM330" s="98" t="str">
        <f t="shared" si="181"/>
        <v>1+1020.44728888109i</v>
      </c>
      <c r="AN330" s="98">
        <f t="shared" si="197"/>
        <v>1020.447778862185</v>
      </c>
      <c r="AO330" s="98">
        <f t="shared" si="198"/>
        <v>1.5698163646833916</v>
      </c>
      <c r="AP330" s="168" t="str">
        <f t="shared" si="199"/>
        <v>-22.5936933929186+9.07973555647994i</v>
      </c>
      <c r="AQ330" s="98">
        <f t="shared" si="200"/>
        <v>27.729935940925632</v>
      </c>
      <c r="AR330" s="169">
        <f t="shared" si="201"/>
        <v>158.10626791594524</v>
      </c>
      <c r="AS330" s="168" t="str">
        <f t="shared" si="202"/>
        <v>0.00565870965878036+0.221017818515043i</v>
      </c>
      <c r="AT330" s="190">
        <f t="shared" si="203"/>
        <v>-13.108608322185937</v>
      </c>
      <c r="AU330" s="169">
        <f t="shared" si="204"/>
        <v>88.5333790387363</v>
      </c>
      <c r="AV330" s="225"/>
      <c r="AX330">
        <f t="shared" si="205"/>
        <v>0</v>
      </c>
      <c r="AY330">
        <f t="shared" si="206"/>
        <v>0</v>
      </c>
    </row>
    <row r="331" spans="14:51" x14ac:dyDescent="0.2">
      <c r="N331" s="170">
        <v>13</v>
      </c>
      <c r="O331" s="199">
        <f t="shared" si="208"/>
        <v>13489.628825916556</v>
      </c>
      <c r="P331" s="189" t="str">
        <f t="shared" si="173"/>
        <v>771.276595744681</v>
      </c>
      <c r="Q331" s="160" t="str">
        <f t="shared" si="174"/>
        <v>1+86452.9943910712i</v>
      </c>
      <c r="R331" s="160">
        <f t="shared" si="182"/>
        <v>86452.994396854687</v>
      </c>
      <c r="S331" s="160">
        <f t="shared" si="183"/>
        <v>1.5707847598155571</v>
      </c>
      <c r="T331" s="160" t="str">
        <f t="shared" si="175"/>
        <v>1+0.0203418810331932i</v>
      </c>
      <c r="U331" s="160">
        <f t="shared" si="184"/>
        <v>1.0002068746634212</v>
      </c>
      <c r="V331" s="160">
        <f t="shared" si="185"/>
        <v>2.0339075959537958E-2</v>
      </c>
      <c r="W331" s="98" t="str">
        <f t="shared" si="176"/>
        <v>1-0.0576353295940474i</v>
      </c>
      <c r="X331" s="160">
        <f t="shared" si="186"/>
        <v>1.001659538574567</v>
      </c>
      <c r="Y331" s="160">
        <f t="shared" si="187"/>
        <v>-5.75716382101292E-2</v>
      </c>
      <c r="Z331" s="98" t="str">
        <f t="shared" si="177"/>
        <v>0.9272119656556-0.394618277337762i</v>
      </c>
      <c r="AA331" s="160">
        <f t="shared" si="188"/>
        <v>1.0076932142591537</v>
      </c>
      <c r="AB331" s="160">
        <f t="shared" si="189"/>
        <v>-0.40237588023877147</v>
      </c>
      <c r="AC331" s="171" t="str">
        <f t="shared" si="190"/>
        <v>0.00316733692633878-0.00828496073860673i</v>
      </c>
      <c r="AD331" s="190">
        <f t="shared" si="191"/>
        <v>-41.041765098746829</v>
      </c>
      <c r="AE331" s="169">
        <f t="shared" si="192"/>
        <v>-69.078166222776062</v>
      </c>
      <c r="AF331" s="98" t="str">
        <f t="shared" si="178"/>
        <v>-0.0000119284294234592</v>
      </c>
      <c r="AG331" s="98" t="str">
        <f t="shared" si="179"/>
        <v>0.000474830358017313i</v>
      </c>
      <c r="AH331" s="98">
        <f t="shared" si="193"/>
        <v>4.7483035801731299E-4</v>
      </c>
      <c r="AI331" s="98">
        <f t="shared" si="194"/>
        <v>1.5707963267948966</v>
      </c>
      <c r="AJ331" s="98" t="str">
        <f t="shared" si="180"/>
        <v>1+0.410066836483635i</v>
      </c>
      <c r="AK331" s="98">
        <f t="shared" si="195"/>
        <v>1.0808121068824572</v>
      </c>
      <c r="AL331" s="98">
        <f t="shared" si="196"/>
        <v>0.38915444783094244</v>
      </c>
      <c r="AM331" s="98" t="str">
        <f t="shared" si="181"/>
        <v>1+1044.21655970392i</v>
      </c>
      <c r="AN331" s="98">
        <f t="shared" si="197"/>
        <v>1044.2170385316888</v>
      </c>
      <c r="AO331" s="98">
        <f t="shared" si="198"/>
        <v>1.5698386713306103</v>
      </c>
      <c r="AP331" s="168" t="str">
        <f t="shared" si="199"/>
        <v>-22.4473139180181+9.23002046081541i</v>
      </c>
      <c r="AQ331" s="98">
        <f t="shared" si="200"/>
        <v>27.701707245096724</v>
      </c>
      <c r="AR331" s="169">
        <f t="shared" si="201"/>
        <v>157.64822294421182</v>
      </c>
      <c r="AS331" s="168" t="str">
        <f t="shared" si="202"/>
        <v>0.0053721508647353+0.215209699134364i</v>
      </c>
      <c r="AT331" s="190">
        <f t="shared" si="203"/>
        <v>-13.340057853650082</v>
      </c>
      <c r="AU331" s="169">
        <f t="shared" si="204"/>
        <v>88.57005672143579</v>
      </c>
      <c r="AV331" s="225"/>
      <c r="AX331">
        <f t="shared" si="205"/>
        <v>0</v>
      </c>
      <c r="AY331">
        <f t="shared" si="206"/>
        <v>0</v>
      </c>
    </row>
    <row r="332" spans="14:51" x14ac:dyDescent="0.2">
      <c r="N332" s="170">
        <v>14</v>
      </c>
      <c r="O332" s="199">
        <f t="shared" si="208"/>
        <v>13803.842646028841</v>
      </c>
      <c r="P332" s="189" t="str">
        <f t="shared" si="173"/>
        <v>771.276595744681</v>
      </c>
      <c r="Q332" s="160" t="str">
        <f t="shared" si="174"/>
        <v>1+88466.7433220704i</v>
      </c>
      <c r="R332" s="160">
        <f t="shared" si="182"/>
        <v>88466.743327722244</v>
      </c>
      <c r="S332" s="160">
        <f t="shared" si="183"/>
        <v>1.5707850231121521</v>
      </c>
      <c r="T332" s="160" t="str">
        <f t="shared" si="175"/>
        <v>1+0.0208157043110754i</v>
      </c>
      <c r="U332" s="160">
        <f t="shared" si="184"/>
        <v>1.0002166233101537</v>
      </c>
      <c r="V332" s="160">
        <f t="shared" si="185"/>
        <v>2.0812698655657793E-2</v>
      </c>
      <c r="W332" s="98" t="str">
        <f t="shared" si="176"/>
        <v>1-0.0589778288813801i</v>
      </c>
      <c r="X332" s="160">
        <f t="shared" si="186"/>
        <v>1.0017376823797541</v>
      </c>
      <c r="Y332" s="160">
        <f t="shared" si="187"/>
        <v>-5.8909588726154295E-2</v>
      </c>
      <c r="Z332" s="98" t="str">
        <f t="shared" si="177"/>
        <v>0.92378157128147-0.403810117825635i</v>
      </c>
      <c r="AA332" s="160">
        <f t="shared" si="188"/>
        <v>1.0081840123199806</v>
      </c>
      <c r="AB332" s="160">
        <f t="shared" si="189"/>
        <v>-0.41209755135359061</v>
      </c>
      <c r="AC332" s="171" t="str">
        <f t="shared" si="190"/>
        <v>0.00316556354117731-0.00806541985912443i</v>
      </c>
      <c r="AD332" s="190">
        <f t="shared" si="191"/>
        <v>-41.245232285454236</v>
      </c>
      <c r="AE332" s="169">
        <f t="shared" si="192"/>
        <v>-68.570692920062697</v>
      </c>
      <c r="AF332" s="98" t="str">
        <f t="shared" si="178"/>
        <v>-0.0000119284294234592</v>
      </c>
      <c r="AG332" s="98" t="str">
        <f t="shared" si="179"/>
        <v>0.000485890577881277i</v>
      </c>
      <c r="AH332" s="98">
        <f t="shared" si="193"/>
        <v>4.8589057788127701E-4</v>
      </c>
      <c r="AI332" s="98">
        <f t="shared" si="194"/>
        <v>1.5707963267948966</v>
      </c>
      <c r="AJ332" s="98" t="str">
        <f t="shared" si="180"/>
        <v>1+0.419618520140441i</v>
      </c>
      <c r="AK332" s="98">
        <f t="shared" si="195"/>
        <v>1.084472084677542</v>
      </c>
      <c r="AL332" s="98">
        <f t="shared" si="196"/>
        <v>0.39730367002478667</v>
      </c>
      <c r="AM332" s="98" t="str">
        <f t="shared" si="181"/>
        <v>1+1068.53948796854i</v>
      </c>
      <c r="AN332" s="98">
        <f t="shared" si="197"/>
        <v>1068.5399558968629</v>
      </c>
      <c r="AO332" s="98">
        <f t="shared" si="198"/>
        <v>1.5698604702174681</v>
      </c>
      <c r="AP332" s="168" t="str">
        <f t="shared" si="199"/>
        <v>-22.2960550029179+9.38038722606584i</v>
      </c>
      <c r="AQ332" s="98">
        <f t="shared" si="200"/>
        <v>27.6723435359986</v>
      </c>
      <c r="AR332" s="169">
        <f t="shared" si="201"/>
        <v>157.18255589040521</v>
      </c>
      <c r="AS332" s="168" t="str">
        <f t="shared" si="202"/>
        <v>0.00507718259006769+0.209521256605624i</v>
      </c>
      <c r="AT332" s="190">
        <f t="shared" si="203"/>
        <v>-13.572888749455636</v>
      </c>
      <c r="AU332" s="169">
        <f t="shared" si="204"/>
        <v>88.611862970342514</v>
      </c>
      <c r="AV332" s="225"/>
      <c r="AX332">
        <f t="shared" si="205"/>
        <v>0</v>
      </c>
      <c r="AY332">
        <f t="shared" si="206"/>
        <v>0</v>
      </c>
    </row>
    <row r="333" spans="14:51" x14ac:dyDescent="0.2">
      <c r="N333" s="170">
        <v>15</v>
      </c>
      <c r="O333" s="199">
        <f t="shared" si="208"/>
        <v>14125.375446227561</v>
      </c>
      <c r="P333" s="189" t="str">
        <f t="shared" si="173"/>
        <v>771.276595744681</v>
      </c>
      <c r="Q333" s="160" t="str">
        <f t="shared" si="174"/>
        <v>1+90527.398491375i</v>
      </c>
      <c r="R333" s="160">
        <f t="shared" si="182"/>
        <v>90527.398496898182</v>
      </c>
      <c r="S333" s="160">
        <f t="shared" si="183"/>
        <v>1.5707852804153848</v>
      </c>
      <c r="T333" s="160" t="str">
        <f t="shared" si="175"/>
        <v>1+0.0213005643509117i</v>
      </c>
      <c r="U333" s="160">
        <f t="shared" si="184"/>
        <v>1.0002268312946156</v>
      </c>
      <c r="V333" s="160">
        <f t="shared" si="185"/>
        <v>2.1297343772552074E-2</v>
      </c>
      <c r="W333" s="98" t="str">
        <f t="shared" si="176"/>
        <v>1-0.0603515989942499i</v>
      </c>
      <c r="X333" s="160">
        <f t="shared" si="186"/>
        <v>1.0018195024559877</v>
      </c>
      <c r="Y333" s="160">
        <f t="shared" si="187"/>
        <v>-6.0278485521085168E-2</v>
      </c>
      <c r="Z333" s="98" t="str">
        <f t="shared" si="177"/>
        <v>0.920189507401244-0.413216063783038i</v>
      </c>
      <c r="AA333" s="160">
        <f t="shared" si="188"/>
        <v>1.0087101887557655</v>
      </c>
      <c r="AB333" s="160">
        <f t="shared" si="189"/>
        <v>-0.42206811517464038</v>
      </c>
      <c r="AC333" s="171" t="str">
        <f t="shared" si="190"/>
        <v>0.00316363226333919-0.0078500204016407i</v>
      </c>
      <c r="AD333" s="190">
        <f t="shared" si="191"/>
        <v>-41.448966249329835</v>
      </c>
      <c r="AE333" s="169">
        <f t="shared" si="192"/>
        <v>-68.050100325318823</v>
      </c>
      <c r="AF333" s="98" t="str">
        <f t="shared" si="178"/>
        <v>-0.0000119284294234592</v>
      </c>
      <c r="AG333" s="98" t="str">
        <f t="shared" si="179"/>
        <v>0.000497208423361158i</v>
      </c>
      <c r="AH333" s="98">
        <f t="shared" si="193"/>
        <v>4.9720842336115805E-4</v>
      </c>
      <c r="AI333" s="98">
        <f t="shared" si="194"/>
        <v>1.5707963267948966</v>
      </c>
      <c r="AJ333" s="98" t="str">
        <f t="shared" si="180"/>
        <v>1+0.429392691090934i</v>
      </c>
      <c r="AK333" s="98">
        <f t="shared" si="195"/>
        <v>1.0882913594999799</v>
      </c>
      <c r="AL333" s="98">
        <f t="shared" si="196"/>
        <v>0.40558540515569391</v>
      </c>
      <c r="AM333" s="98" t="str">
        <f t="shared" si="181"/>
        <v>1+1093.42897001347i</v>
      </c>
      <c r="AN333" s="98">
        <f t="shared" si="197"/>
        <v>1093.4294272904485</v>
      </c>
      <c r="AO333" s="98">
        <f t="shared" si="198"/>
        <v>1.5698817729019403</v>
      </c>
      <c r="AP333" s="168" t="str">
        <f t="shared" si="199"/>
        <v>-22.1398370219014+9.53067500232725i</v>
      </c>
      <c r="AQ333" s="98">
        <f t="shared" si="200"/>
        <v>27.641807289779269</v>
      </c>
      <c r="AR333" s="169">
        <f t="shared" si="201"/>
        <v>156.70926797427154</v>
      </c>
      <c r="AS333" s="168" t="str">
        <f t="shared" si="202"/>
        <v>0.00477369050211722+0.203949723239689i</v>
      </c>
      <c r="AT333" s="190">
        <f t="shared" si="203"/>
        <v>-13.807158959550566</v>
      </c>
      <c r="AU333" s="169">
        <f t="shared" si="204"/>
        <v>88.659167648952732</v>
      </c>
      <c r="AV333" s="225"/>
      <c r="AX333">
        <f t="shared" si="205"/>
        <v>0</v>
      </c>
      <c r="AY333">
        <f t="shared" si="206"/>
        <v>0</v>
      </c>
    </row>
    <row r="334" spans="14:51" x14ac:dyDescent="0.2">
      <c r="N334" s="170">
        <v>16</v>
      </c>
      <c r="O334" s="199">
        <f t="shared" si="208"/>
        <v>14454.397707459291</v>
      </c>
      <c r="P334" s="189" t="str">
        <f t="shared" si="173"/>
        <v>771.276595744681</v>
      </c>
      <c r="Q334" s="160" t="str">
        <f t="shared" si="174"/>
        <v>1+92636.0524856313i</v>
      </c>
      <c r="R334" s="160">
        <f t="shared" si="182"/>
        <v>92636.05249102875</v>
      </c>
      <c r="S334" s="160">
        <f t="shared" si="183"/>
        <v>1.5707855318616808</v>
      </c>
      <c r="T334" s="160" t="str">
        <f t="shared" si="175"/>
        <v>1+0.0217967182319132i</v>
      </c>
      <c r="U334" s="160">
        <f t="shared" si="184"/>
        <v>1.000237520254905</v>
      </c>
      <c r="V334" s="160">
        <f t="shared" si="185"/>
        <v>2.1793267364283789E-2</v>
      </c>
      <c r="W334" s="98" t="str">
        <f t="shared" si="176"/>
        <v>1-0.0617573683237541i</v>
      </c>
      <c r="X334" s="160">
        <f t="shared" si="186"/>
        <v>1.0019051714320453</v>
      </c>
      <c r="Y334" s="160">
        <f t="shared" si="187"/>
        <v>-6.1679033869354964E-2</v>
      </c>
      <c r="Z334" s="98" t="str">
        <f t="shared" si="177"/>
        <v>0.916428154765838-0.42284110236702i</v>
      </c>
      <c r="AA334" s="160">
        <f t="shared" si="188"/>
        <v>1.0092745715108826</v>
      </c>
      <c r="AB334" s="160">
        <f t="shared" si="189"/>
        <v>-0.4322946594100619</v>
      </c>
      <c r="AC334" s="171" t="str">
        <f t="shared" si="190"/>
        <v>0.0031615288348761-0.00763864149221642i</v>
      </c>
      <c r="AD334" s="190">
        <f t="shared" si="191"/>
        <v>-41.65298917684423</v>
      </c>
      <c r="AE334" s="169">
        <f t="shared" si="192"/>
        <v>-67.516008089029512</v>
      </c>
      <c r="AF334" s="98" t="str">
        <f t="shared" si="178"/>
        <v>-0.0000119284294234592</v>
      </c>
      <c r="AG334" s="98" t="str">
        <f t="shared" si="179"/>
        <v>0.000508789895328435i</v>
      </c>
      <c r="AH334" s="98">
        <f t="shared" si="193"/>
        <v>5.0878989532843503E-4</v>
      </c>
      <c r="AI334" s="98">
        <f t="shared" si="194"/>
        <v>1.5707963267948966</v>
      </c>
      <c r="AJ334" s="98" t="str">
        <f t="shared" si="180"/>
        <v>1+0.439394531729927i</v>
      </c>
      <c r="AK334" s="98">
        <f t="shared" si="195"/>
        <v>1.0922763178400243</v>
      </c>
      <c r="AL334" s="98">
        <f t="shared" si="196"/>
        <v>0.41399949909382366</v>
      </c>
      <c r="AM334" s="98" t="str">
        <f t="shared" si="181"/>
        <v>1+1118.89820257155i</v>
      </c>
      <c r="AN334" s="98">
        <f t="shared" si="197"/>
        <v>1118.8986494396377</v>
      </c>
      <c r="AO334" s="98">
        <f t="shared" si="198"/>
        <v>1.5699025906789148</v>
      </c>
      <c r="AP334" s="168" t="str">
        <f t="shared" si="199"/>
        <v>-21.9785859017881+9.68071516622862i</v>
      </c>
      <c r="AQ334" s="98">
        <f t="shared" si="200"/>
        <v>27.610060396073841</v>
      </c>
      <c r="AR334" s="169">
        <f t="shared" si="201"/>
        <v>156.22836867394963</v>
      </c>
      <c r="AS334" s="168" t="str">
        <f t="shared" si="202"/>
        <v>0.00446157946477831+0.198492398349896i</v>
      </c>
      <c r="AT334" s="190">
        <f t="shared" si="203"/>
        <v>-14.042928780770364</v>
      </c>
      <c r="AU334" s="169">
        <f t="shared" si="204"/>
        <v>88.712360584920106</v>
      </c>
      <c r="AV334" s="225"/>
      <c r="AX334">
        <f t="shared" si="205"/>
        <v>0</v>
      </c>
      <c r="AY334">
        <f t="shared" si="206"/>
        <v>0</v>
      </c>
    </row>
    <row r="335" spans="14:51" x14ac:dyDescent="0.2">
      <c r="N335" s="170">
        <v>17</v>
      </c>
      <c r="O335" s="199">
        <f t="shared" si="208"/>
        <v>14791.083881682089</v>
      </c>
      <c r="P335" s="189" t="str">
        <f t="shared" si="173"/>
        <v>771.276595744681</v>
      </c>
      <c r="Q335" s="160" t="str">
        <f t="shared" si="174"/>
        <v>1+94793.8233410986i</v>
      </c>
      <c r="R335" s="160">
        <f t="shared" si="182"/>
        <v>94793.823346373189</v>
      </c>
      <c r="S335" s="160">
        <f t="shared" si="183"/>
        <v>1.5707857775843603</v>
      </c>
      <c r="T335" s="160" t="str">
        <f t="shared" si="175"/>
        <v>1+0.022304429021435i</v>
      </c>
      <c r="U335" s="160">
        <f t="shared" si="184"/>
        <v>1.0002487128479458</v>
      </c>
      <c r="V335" s="160">
        <f t="shared" si="185"/>
        <v>2.2300731399805835E-2</v>
      </c>
      <c r="W335" s="98" t="str">
        <f t="shared" si="176"/>
        <v>1-0.063195882227399i</v>
      </c>
      <c r="X335" s="160">
        <f t="shared" si="186"/>
        <v>1.0019948700120671</v>
      </c>
      <c r="Y335" s="160">
        <f t="shared" si="187"/>
        <v>-6.3111954370021636E-2</v>
      </c>
      <c r="Z335" s="98" t="str">
        <f t="shared" si="177"/>
        <v>0.912489535042018-0.432690336900441i</v>
      </c>
      <c r="AA335" s="160">
        <f t="shared" si="188"/>
        <v>1.0098802301303929</v>
      </c>
      <c r="AB335" s="160">
        <f t="shared" si="189"/>
        <v>-0.44278448976979157</v>
      </c>
      <c r="AC335" s="171" t="str">
        <f t="shared" si="190"/>
        <v>0.00315923774475393-0.00743116428656323i</v>
      </c>
      <c r="AD335" s="190">
        <f t="shared" si="191"/>
        <v>-41.857325165555459</v>
      </c>
      <c r="AE335" s="169">
        <f t="shared" si="192"/>
        <v>-66.968023910057155</v>
      </c>
      <c r="AF335" s="98" t="str">
        <f t="shared" si="178"/>
        <v>-0.0000119284294234592</v>
      </c>
      <c r="AG335" s="98" t="str">
        <f t="shared" si="179"/>
        <v>0.000520641134432846i</v>
      </c>
      <c r="AH335" s="98">
        <f t="shared" si="193"/>
        <v>5.20641134432846E-4</v>
      </c>
      <c r="AI335" s="98">
        <f t="shared" si="194"/>
        <v>1.5707963267948966</v>
      </c>
      <c r="AJ335" s="98" t="str">
        <f t="shared" si="180"/>
        <v>1+0.449629345165718i</v>
      </c>
      <c r="AK335" s="98">
        <f t="shared" si="195"/>
        <v>1.0964335584221017</v>
      </c>
      <c r="AL335" s="98">
        <f t="shared" si="196"/>
        <v>0.42254564651386456</v>
      </c>
      <c r="AM335" s="98" t="str">
        <f t="shared" si="181"/>
        <v>1+1144.96068976699i</v>
      </c>
      <c r="AN335" s="98">
        <f t="shared" si="197"/>
        <v>1144.9611264631221</v>
      </c>
      <c r="AO335" s="98">
        <f t="shared" si="198"/>
        <v>1.5699229345861805</v>
      </c>
      <c r="AP335" s="168" t="str">
        <f t="shared" si="199"/>
        <v>-21.8122337345063+9.83033140981564i</v>
      </c>
      <c r="AQ335" s="98">
        <f t="shared" si="200"/>
        <v>27.577064202679104</v>
      </c>
      <c r="AR335" s="169">
        <f t="shared" si="201"/>
        <v>155.73987611570976</v>
      </c>
      <c r="AS335" s="168" t="str">
        <f t="shared" si="202"/>
        <v>0.00414077558625547+0.193146646371363i</v>
      </c>
      <c r="AT335" s="190">
        <f t="shared" si="203"/>
        <v>-14.280260962876334</v>
      </c>
      <c r="AU335" s="169">
        <f t="shared" si="204"/>
        <v>88.771852205652621</v>
      </c>
      <c r="AV335" s="225"/>
      <c r="AX335">
        <f t="shared" si="205"/>
        <v>0</v>
      </c>
      <c r="AY335">
        <f t="shared" si="206"/>
        <v>0</v>
      </c>
    </row>
    <row r="336" spans="14:51" x14ac:dyDescent="0.2">
      <c r="N336" s="170">
        <v>18</v>
      </c>
      <c r="O336" s="199">
        <f t="shared" si="208"/>
        <v>15135.612484362096</v>
      </c>
      <c r="P336" s="189" t="str">
        <f t="shared" si="173"/>
        <v>771.276595744681</v>
      </c>
      <c r="Q336" s="160" t="str">
        <f t="shared" si="174"/>
        <v>1+97001.855136446i</v>
      </c>
      <c r="R336" s="160">
        <f t="shared" si="182"/>
        <v>97001.85514160055</v>
      </c>
      <c r="S336" s="160">
        <f t="shared" si="183"/>
        <v>1.570786017713709</v>
      </c>
      <c r="T336" s="160" t="str">
        <f t="shared" si="175"/>
        <v>1+0.0228239659144579i</v>
      </c>
      <c r="U336" s="160">
        <f t="shared" si="184"/>
        <v>1.0002604327974112</v>
      </c>
      <c r="V336" s="160">
        <f t="shared" si="185"/>
        <v>2.2820003897211425E-2</v>
      </c>
      <c r="W336" s="98" t="str">
        <f t="shared" si="176"/>
        <v>1-0.0646679034242972i</v>
      </c>
      <c r="X336" s="160">
        <f t="shared" si="186"/>
        <v>1.0020887873503497</v>
      </c>
      <c r="Y336" s="160">
        <f t="shared" si="187"/>
        <v>-6.4577983225941035E-2</v>
      </c>
      <c r="Z336" s="98" t="str">
        <f t="shared" si="177"/>
        <v>0.908365293889289-0.442768989577819i</v>
      </c>
      <c r="AA336" s="160">
        <f t="shared" si="188"/>
        <v>1.0105304969541182</v>
      </c>
      <c r="AB336" s="160">
        <f t="shared" si="189"/>
        <v>-0.45354513393426599</v>
      </c>
      <c r="AC336" s="171" t="str">
        <f t="shared" si="190"/>
        <v>0.00315674212683123-0.00722747194609633i</v>
      </c>
      <c r="AD336" s="190">
        <f t="shared" si="191"/>
        <v>-42.062000386843678</v>
      </c>
      <c r="AE336" s="169">
        <f t="shared" si="192"/>
        <v>-66.405743316558883</v>
      </c>
      <c r="AF336" s="98" t="str">
        <f t="shared" si="178"/>
        <v>-0.0000119284294234592</v>
      </c>
      <c r="AG336" s="98" t="str">
        <f t="shared" si="179"/>
        <v>0.000532768424358233i</v>
      </c>
      <c r="AH336" s="98">
        <f t="shared" si="193"/>
        <v>5.3276842435823299E-4</v>
      </c>
      <c r="AI336" s="98">
        <f t="shared" si="194"/>
        <v>1.5707963267948966</v>
      </c>
      <c r="AJ336" s="98" t="str">
        <f t="shared" si="180"/>
        <v>1+0.460102558031864i</v>
      </c>
      <c r="AK336" s="98">
        <f t="shared" si="195"/>
        <v>1.1007698959852894</v>
      </c>
      <c r="AL336" s="98">
        <f t="shared" si="196"/>
        <v>0.43122338419717404</v>
      </c>
      <c r="AM336" s="98" t="str">
        <f t="shared" si="181"/>
        <v>1+1171.6302502755i</v>
      </c>
      <c r="AN336" s="98">
        <f t="shared" si="197"/>
        <v>1171.6306770312181</v>
      </c>
      <c r="AO336" s="98">
        <f t="shared" si="198"/>
        <v>1.5699428154102788</v>
      </c>
      <c r="AP336" s="168" t="str">
        <f t="shared" si="199"/>
        <v>-21.6407194046567+9.97933987597814i</v>
      </c>
      <c r="AQ336" s="98">
        <f t="shared" si="200"/>
        <v>27.542779564960838</v>
      </c>
      <c r="AR336" s="169">
        <f t="shared" si="201"/>
        <v>155.24381745804843</v>
      </c>
      <c r="AS336" s="168" t="str">
        <f t="shared" si="202"/>
        <v>0.00381122839457856+0.187909894974966i</v>
      </c>
      <c r="AT336" s="190">
        <f t="shared" si="203"/>
        <v>-14.519220821882824</v>
      </c>
      <c r="AU336" s="169">
        <f t="shared" si="204"/>
        <v>88.838074141489571</v>
      </c>
      <c r="AV336" s="225"/>
      <c r="AX336">
        <f t="shared" si="205"/>
        <v>0</v>
      </c>
      <c r="AY336">
        <f t="shared" si="206"/>
        <v>0</v>
      </c>
    </row>
    <row r="337" spans="14:51" x14ac:dyDescent="0.2">
      <c r="N337" s="170">
        <v>19</v>
      </c>
      <c r="O337" s="199">
        <f t="shared" si="208"/>
        <v>15488.166189124853</v>
      </c>
      <c r="P337" s="189" t="str">
        <f t="shared" si="173"/>
        <v>771.276595744681</v>
      </c>
      <c r="Q337" s="160" t="str">
        <f t="shared" si="174"/>
        <v>1+99261.3185993582i</v>
      </c>
      <c r="R337" s="160">
        <f t="shared" si="182"/>
        <v>99261.318604395405</v>
      </c>
      <c r="S337" s="160">
        <f t="shared" si="183"/>
        <v>1.5707862523770462</v>
      </c>
      <c r="T337" s="160" t="str">
        <f t="shared" si="175"/>
        <v>1+0.0233556043763196i</v>
      </c>
      <c r="U337" s="160">
        <f t="shared" si="184"/>
        <v>1.0002727049438984</v>
      </c>
      <c r="V337" s="160">
        <f t="shared" si="185"/>
        <v>2.3351359060860787E-2</v>
      </c>
      <c r="W337" s="98" t="str">
        <f t="shared" si="176"/>
        <v>1-0.066174212399572i</v>
      </c>
      <c r="X337" s="160">
        <f t="shared" si="186"/>
        <v>1.0021871214432481</v>
      </c>
      <c r="Y337" s="160">
        <f t="shared" si="187"/>
        <v>-6.6077872524017742E-2</v>
      </c>
      <c r="Z337" s="98" t="str">
        <f t="shared" si="177"/>
        <v>0.90404668323922-0.453082404234213i</v>
      </c>
      <c r="AA337" s="160">
        <f t="shared" si="188"/>
        <v>1.0112289901414464</v>
      </c>
      <c r="AB337" s="160">
        <f t="shared" si="189"/>
        <v>-0.46458434494018203</v>
      </c>
      <c r="AC337" s="171" t="str">
        <f t="shared" si="190"/>
        <v>0.00315402365124287-0.00702744962335731i</v>
      </c>
      <c r="AD337" s="190">
        <f t="shared" si="191"/>
        <v>-42.26704326142616</v>
      </c>
      <c r="AE337" s="169">
        <f t="shared" si="192"/>
        <v>-65.828749480201466</v>
      </c>
      <c r="AF337" s="98" t="str">
        <f t="shared" si="178"/>
        <v>-0.0000119284294234592</v>
      </c>
      <c r="AG337" s="98" t="str">
        <f t="shared" si="179"/>
        <v>0.00054517819515424i</v>
      </c>
      <c r="AH337" s="98">
        <f t="shared" si="193"/>
        <v>5.4517819515423999E-4</v>
      </c>
      <c r="AI337" s="98">
        <f t="shared" si="194"/>
        <v>1.5707963267948966</v>
      </c>
      <c r="AJ337" s="98" t="str">
        <f t="shared" si="180"/>
        <v>1+0.470819723364456i</v>
      </c>
      <c r="AK337" s="98">
        <f t="shared" si="195"/>
        <v>1.1052923649012432</v>
      </c>
      <c r="AL337" s="98">
        <f t="shared" si="196"/>
        <v>0.44003208447455827</v>
      </c>
      <c r="AM337" s="98" t="str">
        <f t="shared" si="181"/>
        <v>1+1198.92102465107i</v>
      </c>
      <c r="AN337" s="98">
        <f t="shared" si="197"/>
        <v>1198.9214416926457</v>
      </c>
      <c r="AO337" s="98">
        <f t="shared" si="198"/>
        <v>1.5699622436922229</v>
      </c>
      <c r="AP337" s="168" t="str">
        <f t="shared" si="199"/>
        <v>-21.4639892287805+10.1275493435356i</v>
      </c>
      <c r="AQ337" s="98">
        <f t="shared" si="200"/>
        <v>27.507166900093253</v>
      </c>
      <c r="AR337" s="169">
        <f t="shared" si="201"/>
        <v>154.74022926771727</v>
      </c>
      <c r="AS337" s="168" t="str">
        <f t="shared" si="202"/>
        <v>0.00347291314216593+0.182779633180179i</v>
      </c>
      <c r="AT337" s="190">
        <f t="shared" si="203"/>
        <v>-14.759876361332919</v>
      </c>
      <c r="AU337" s="169">
        <f t="shared" si="204"/>
        <v>88.911479787515816</v>
      </c>
      <c r="AV337" s="225"/>
      <c r="AX337">
        <f t="shared" si="205"/>
        <v>0</v>
      </c>
      <c r="AY337">
        <f t="shared" si="206"/>
        <v>0</v>
      </c>
    </row>
    <row r="338" spans="14:51" x14ac:dyDescent="0.2">
      <c r="N338" s="170">
        <v>20</v>
      </c>
      <c r="O338" s="199">
        <f t="shared" si="208"/>
        <v>15848.931924611146</v>
      </c>
      <c r="P338" s="189" t="str">
        <f t="shared" si="173"/>
        <v>771.276595744681</v>
      </c>
      <c r="Q338" s="160" t="str">
        <f t="shared" si="174"/>
        <v>1+101573.41172727i</v>
      </c>
      <c r="R338" s="160">
        <f t="shared" si="182"/>
        <v>101573.41173219254</v>
      </c>
      <c r="S338" s="160">
        <f t="shared" si="183"/>
        <v>1.5707864816987935</v>
      </c>
      <c r="T338" s="160" t="str">
        <f t="shared" si="175"/>
        <v>1+0.0238996262887695i</v>
      </c>
      <c r="U338" s="160">
        <f t="shared" si="184"/>
        <v>1.0002855552974574</v>
      </c>
      <c r="V338" s="160">
        <f t="shared" si="185"/>
        <v>2.3895077421431703E-2</v>
      </c>
      <c r="W338" s="98" t="str">
        <f t="shared" si="176"/>
        <v>1-0.0677156078181801i</v>
      </c>
      <c r="X338" s="160">
        <f t="shared" si="186"/>
        <v>1.0022900795389453</v>
      </c>
      <c r="Y338" s="160">
        <f t="shared" si="187"/>
        <v>-6.7612390516183854E-2</v>
      </c>
      <c r="Z338" s="98" t="str">
        <f t="shared" si="177"/>
        <v>0.899524542739617-0.463636049178586i</v>
      </c>
      <c r="AA338" s="160">
        <f t="shared" si="188"/>
        <v>1.011979638673054</v>
      </c>
      <c r="AB338" s="160">
        <f t="shared" si="189"/>
        <v>-0.47591010385257582</v>
      </c>
      <c r="AC338" s="171" t="str">
        <f t="shared" si="190"/>
        <v>0.0031510624091146-0.00683098445798399i</v>
      </c>
      <c r="AD338" s="190">
        <f t="shared" si="191"/>
        <v>-42.472484648416746</v>
      </c>
      <c r="AE338" s="169">
        <f t="shared" si="192"/>
        <v>-65.236613071140368</v>
      </c>
      <c r="AF338" s="98" t="str">
        <f t="shared" si="178"/>
        <v>-0.0000119284294234592</v>
      </c>
      <c r="AG338" s="98" t="str">
        <f t="shared" si="179"/>
        <v>0.000557877026645602i</v>
      </c>
      <c r="AH338" s="98">
        <f t="shared" si="193"/>
        <v>5.5787702664560198E-4</v>
      </c>
      <c r="AI338" s="98">
        <f t="shared" si="194"/>
        <v>1.5707963267948966</v>
      </c>
      <c r="AJ338" s="98" t="str">
        <f t="shared" si="180"/>
        <v>1+0.48178652354641i</v>
      </c>
      <c r="AK338" s="98">
        <f t="shared" si="195"/>
        <v>1.1100082226141099</v>
      </c>
      <c r="AL338" s="98">
        <f t="shared" si="196"/>
        <v>0.44897094885459199</v>
      </c>
      <c r="AM338" s="98" t="str">
        <f t="shared" si="181"/>
        <v>1+1226.8474828235i</v>
      </c>
      <c r="AN338" s="98">
        <f t="shared" si="197"/>
        <v>1226.8478903720536</v>
      </c>
      <c r="AO338" s="98">
        <f t="shared" si="198"/>
        <v>1.5699812297330862</v>
      </c>
      <c r="AP338" s="168" t="str">
        <f t="shared" si="199"/>
        <v>-21.2819976026096+10.2747614649236i</v>
      </c>
      <c r="AQ338" s="98">
        <f t="shared" si="200"/>
        <v>27.470186246207774</v>
      </c>
      <c r="AR338" s="169">
        <f t="shared" si="201"/>
        <v>154.22915788511261</v>
      </c>
      <c r="AS338" s="168" t="str">
        <f t="shared" si="202"/>
        <v>0.00312583323993577+0.177753409473019i</v>
      </c>
      <c r="AT338" s="190">
        <f t="shared" si="203"/>
        <v>-15.00229840220895</v>
      </c>
      <c r="AU338" s="169">
        <f t="shared" si="204"/>
        <v>88.992544813972273</v>
      </c>
      <c r="AV338" s="225"/>
      <c r="AX338">
        <f t="shared" si="205"/>
        <v>0</v>
      </c>
      <c r="AY338">
        <f t="shared" si="206"/>
        <v>0</v>
      </c>
    </row>
    <row r="339" spans="14:51" x14ac:dyDescent="0.2">
      <c r="N339" s="170">
        <v>21</v>
      </c>
      <c r="O339" s="199">
        <f t="shared" si="208"/>
        <v>16218.100973589309</v>
      </c>
      <c r="P339" s="189" t="str">
        <f t="shared" ref="P339:P402" si="209">COMPLEX(Adc,0)</f>
        <v>771.276595744681</v>
      </c>
      <c r="Q339" s="160" t="str">
        <f t="shared" ref="Q339:Q402" si="210">IMSUM(COMPLEX(1,0),IMDIV(COMPLEX(0,2*PI()*O339),COMPLEX(wp_lf,0)))</f>
        <v>1+103939.360422563i</v>
      </c>
      <c r="R339" s="160">
        <f t="shared" si="182"/>
        <v>103939.36042737348</v>
      </c>
      <c r="S339" s="160">
        <f t="shared" si="183"/>
        <v>1.5707867058005409</v>
      </c>
      <c r="T339" s="160" t="str">
        <f t="shared" ref="T339:T402" si="211">IMSUM(COMPLEX(1,0),IMDIV(COMPLEX(0,2*PI()*O339),COMPLEX(wz_esr,0)))</f>
        <v>1+0.0244563200994266i</v>
      </c>
      <c r="U339" s="160">
        <f t="shared" si="184"/>
        <v>1.000299011092586</v>
      </c>
      <c r="V339" s="160">
        <f t="shared" si="185"/>
        <v>2.4451445978944907E-2</v>
      </c>
      <c r="W339" s="98" t="str">
        <f t="shared" ref="W339:W402" si="212">IMSUB(COMPLEX(1,0),IMDIV(COMPLEX(0,2*PI()*O339),COMPLEX(wz_rhp,0)))</f>
        <v>1-0.0692929069483754i</v>
      </c>
      <c r="X339" s="160">
        <f t="shared" si="186"/>
        <v>1.0023978785658698</v>
      </c>
      <c r="Y339" s="160">
        <f t="shared" si="187"/>
        <v>-6.9182321900729829E-2</v>
      </c>
      <c r="Z339" s="98" t="str">
        <f t="shared" ref="Z339:Z402" si="213">IF(Dc_Mode_Loop="CCM",IMSUM(COMPLEX(1,0),IMDIV(COMPLEX(0,2*PI()*O339),COMPLEX(Q*(wsl/2),0)),IMDIV(IMPOWER(COMPLEX(0,2*PI()*O339),2),IMPOWER(COMPLEX(wsl/2,0),2))),COMPLEX(1,0))</f>
        <v>0.894789280324185-0.474435520093181i</v>
      </c>
      <c r="AA339" s="160">
        <f t="shared" si="188"/>
        <v>1.0127867094848551</v>
      </c>
      <c r="AB339" s="160">
        <f t="shared" si="189"/>
        <v>-0.48753062157420324</v>
      </c>
      <c r="AC339" s="171" t="str">
        <f t="shared" si="190"/>
        <v>0.00314783679062036-0.00663796558453863i</v>
      </c>
      <c r="AD339" s="190">
        <f t="shared" si="191"/>
        <v>-42.6783580486901</v>
      </c>
      <c r="AE339" s="169">
        <f t="shared" si="192"/>
        <v>-64.628892162278817</v>
      </c>
      <c r="AF339" s="98" t="str">
        <f t="shared" ref="AF339:AF402" si="214">COMPLEX(Adc_ea,0)</f>
        <v>-0.0000119284294234592</v>
      </c>
      <c r="AG339" s="98" t="str">
        <f t="shared" ref="AG339:AG402" si="215">COMPLEX(0,2*PI()*O339*wp0_ea)</f>
        <v>0.000570871651920868i</v>
      </c>
      <c r="AH339" s="98">
        <f t="shared" si="193"/>
        <v>5.7087165192086801E-4</v>
      </c>
      <c r="AI339" s="98">
        <f t="shared" si="194"/>
        <v>1.5707963267948966</v>
      </c>
      <c r="AJ339" s="98" t="str">
        <f t="shared" ref="AJ339:AJ402" si="216">IMSUM(COMPLEX(1,0),IMDIV(COMPLEX(0,2*PI()*O339),COMPLEX(wp1_ea,0)))</f>
        <v>1+0.493008773320346i</v>
      </c>
      <c r="AK339" s="98">
        <f t="shared" si="195"/>
        <v>1.1149249528873377</v>
      </c>
      <c r="AL339" s="98">
        <f t="shared" si="196"/>
        <v>0.45803900188488106</v>
      </c>
      <c r="AM339" s="98" t="str">
        <f t="shared" ref="AM339:AM402" si="217">IMSUM(COMPLEX(1,0),IMDIV(COMPLEX(0,2*PI()*O339),COMPLEX(wz_ea,0)))</f>
        <v>1+1255.42443177057i</v>
      </c>
      <c r="AN339" s="98">
        <f t="shared" si="197"/>
        <v>1255.4248300421887</v>
      </c>
      <c r="AO339" s="98">
        <f t="shared" si="198"/>
        <v>1.5699997835994643</v>
      </c>
      <c r="AP339" s="168" t="str">
        <f t="shared" si="199"/>
        <v>-21.0947076521223+10.4207710591862i</v>
      </c>
      <c r="AQ339" s="98">
        <f t="shared" si="200"/>
        <v>27.431797326496294</v>
      </c>
      <c r="AR339" s="169">
        <f t="shared" si="201"/>
        <v>153.71065977631352</v>
      </c>
      <c r="AS339" s="168" t="str">
        <f t="shared" si="202"/>
        <v>0.00277002282050276+0.17282882993743i</v>
      </c>
      <c r="AT339" s="190">
        <f t="shared" si="203"/>
        <v>-15.246560722193793</v>
      </c>
      <c r="AU339" s="169">
        <f t="shared" si="204"/>
        <v>89.081767614034717</v>
      </c>
      <c r="AV339" s="225"/>
      <c r="AX339">
        <f t="shared" si="205"/>
        <v>0</v>
      </c>
      <c r="AY339">
        <f t="shared" si="206"/>
        <v>0</v>
      </c>
    </row>
    <row r="340" spans="14:51" x14ac:dyDescent="0.2">
      <c r="N340" s="170">
        <v>22</v>
      </c>
      <c r="O340" s="199">
        <f t="shared" si="208"/>
        <v>16595.869074375616</v>
      </c>
      <c r="P340" s="189" t="str">
        <f t="shared" si="209"/>
        <v>771.276595744681</v>
      </c>
      <c r="Q340" s="160" t="str">
        <f t="shared" si="210"/>
        <v>1+106360.419142553i</v>
      </c>
      <c r="R340" s="160">
        <f t="shared" ref="R340:R403" si="218">IMABS(Q340)</f>
        <v>106360.41914725398</v>
      </c>
      <c r="S340" s="160">
        <f t="shared" ref="S340:S403" si="219">IMARGUMENT(Q340)</f>
        <v>1.5707869248011095</v>
      </c>
      <c r="T340" s="160" t="str">
        <f t="shared" si="211"/>
        <v>1+0.0250259809747183i</v>
      </c>
      <c r="U340" s="160">
        <f t="shared" ref="U340:U403" si="220">IMABS(T340)</f>
        <v>1.0003131008458037</v>
      </c>
      <c r="V340" s="160">
        <f t="shared" ref="V340:V403" si="221">IMARGUMENT(T340)</f>
        <v>2.5020758348811713E-2</v>
      </c>
      <c r="W340" s="98" t="str">
        <f t="shared" si="212"/>
        <v>1-0.0709069460950351i</v>
      </c>
      <c r="X340" s="160">
        <f t="shared" ref="X340:X403" si="222">IMABS(W340)</f>
        <v>1.0025107455805768</v>
      </c>
      <c r="Y340" s="160">
        <f t="shared" ref="Y340:Y403" si="223">IMARGUMENT(W340)</f>
        <v>-7.0788468103569591E-2</v>
      </c>
      <c r="Z340" s="98" t="str">
        <f t="shared" si="213"/>
        <v>0.889830851866473-0.485486543000428i</v>
      </c>
      <c r="AA340" s="160">
        <f t="shared" ref="AA340:AA403" si="224">IMABS(Z340)</f>
        <v>1.013654836898596</v>
      </c>
      <c r="AB340" s="160">
        <f t="shared" ref="AB340:AB403" si="225">IMARGUMENT(Z340)</f>
        <v>-0.4994543396228992</v>
      </c>
      <c r="AC340" s="171" t="str">
        <f t="shared" ref="AC340:AC403" si="226">(IMDIV(IMPRODUCT(P340,T340,W340),IMPRODUCT(Q340,Z340)))</f>
        <v>0.00314432335650466-0.00644828415365167i</v>
      </c>
      <c r="AD340" s="190">
        <f t="shared" ref="AD340:AD403" si="227">20*LOG(IMABS(AC340))</f>
        <v>-42.884699823291868</v>
      </c>
      <c r="AE340" s="169">
        <f t="shared" ref="AE340:AE403" si="228">(180/PI())*IMARGUMENT(AC340)</f>
        <v>-64.005132192478627</v>
      </c>
      <c r="AF340" s="98" t="str">
        <f t="shared" si="214"/>
        <v>-0.0000119284294234592</v>
      </c>
      <c r="AG340" s="98" t="str">
        <f t="shared" si="215"/>
        <v>0.000584168960902362i</v>
      </c>
      <c r="AH340" s="98">
        <f t="shared" ref="AH340:AH403" si="229">IMABS(AG340)</f>
        <v>5.8416896090236195E-4</v>
      </c>
      <c r="AI340" s="98">
        <f t="shared" ref="AI340:AI403" si="230">IMARGUMENT(AG340)</f>
        <v>1.5707963267948966</v>
      </c>
      <c r="AJ340" s="98" t="str">
        <f t="shared" si="216"/>
        <v>1+0.504492422871643i</v>
      </c>
      <c r="AK340" s="98">
        <f t="shared" ref="AK340:AK403" si="231">IMABS(AJ340)</f>
        <v>1.1200502688428322</v>
      </c>
      <c r="AL340" s="98">
        <f t="shared" ref="AL340:AL403" si="232">IMARGUMENT(AJ340)</f>
        <v>0.46723508529590468</v>
      </c>
      <c r="AM340" s="98" t="str">
        <f t="shared" si="217"/>
        <v>1+1284.66702336887i</v>
      </c>
      <c r="AN340" s="98">
        <f t="shared" ref="AN340:AN403" si="233">IMABS(AM340)</f>
        <v>1284.6674125747227</v>
      </c>
      <c r="AO340" s="98">
        <f t="shared" ref="AO340:AO403" si="234">IMARGUMENT(AM340)</f>
        <v>1.5700179151288116</v>
      </c>
      <c r="AP340" s="168" t="str">
        <f t="shared" ref="AP340:AP403" si="235">IMPRODUCT(AF340,IMDIV(AM340,IMPRODUCT(AG340,AJ340)))</f>
        <v>-20.9020918837772+10.5653664626846i</v>
      </c>
      <c r="AQ340" s="98">
        <f t="shared" ref="AQ340:AQ403" si="236">20*LOG(IMABS(AP340))</f>
        <v>27.39195961827923</v>
      </c>
      <c r="AR340" s="169">
        <f t="shared" ref="AR340:AR403" si="237">(180/PI())*IMARGUMENT(AP340)</f>
        <v>153.1848018689191</v>
      </c>
      <c r="AS340" s="168" t="str">
        <f t="shared" ref="AS340:AS403" si="238">IMPRODUCT(AC340,AP340)</f>
        <v>0.00240554942888475+0.168003556410982i</v>
      </c>
      <c r="AT340" s="190">
        <f t="shared" ref="AT340:AT403" si="239">20*LOG(IMABS(AS340))</f>
        <v>-15.492740205012632</v>
      </c>
      <c r="AU340" s="169">
        <f t="shared" ref="AU340:AU403" si="240">(180/PI())*IMARGUMENT(AS340)</f>
        <v>89.179669676440511</v>
      </c>
      <c r="AV340" s="225"/>
      <c r="AX340">
        <f t="shared" ref="AX340:AX403" si="241">SUM((AT341&lt;0)*(AT340&gt;0))*O340</f>
        <v>0</v>
      </c>
      <c r="AY340">
        <f t="shared" ref="AY340:AY403" si="242">IF(AX340&gt;0,AU340,0)</f>
        <v>0</v>
      </c>
    </row>
    <row r="341" spans="14:51" x14ac:dyDescent="0.2">
      <c r="N341" s="170">
        <v>23</v>
      </c>
      <c r="O341" s="199">
        <f t="shared" si="208"/>
        <v>16982.436524617482</v>
      </c>
      <c r="P341" s="189" t="str">
        <f t="shared" si="209"/>
        <v>771.276595744681</v>
      </c>
      <c r="Q341" s="160" t="str">
        <f t="shared" si="210"/>
        <v>1+108837.871564619i</v>
      </c>
      <c r="R341" s="160">
        <f t="shared" si="218"/>
        <v>108837.87156921298</v>
      </c>
      <c r="S341" s="160">
        <f t="shared" si="219"/>
        <v>1.5707871388166166</v>
      </c>
      <c r="T341" s="160" t="str">
        <f t="shared" si="211"/>
        <v>1+0.0256089109563809i</v>
      </c>
      <c r="U341" s="160">
        <f t="shared" si="220"/>
        <v>1.0003278544159269</v>
      </c>
      <c r="V341" s="160">
        <f t="shared" si="221"/>
        <v>2.5603314910951955E-2</v>
      </c>
      <c r="W341" s="98" t="str">
        <f t="shared" si="212"/>
        <v>1-0.0725585810430791i</v>
      </c>
      <c r="X341" s="160">
        <f t="shared" si="222"/>
        <v>1.0026289182359469</v>
      </c>
      <c r="Y341" s="160">
        <f t="shared" si="223"/>
        <v>-7.2431647558989468E-2</v>
      </c>
      <c r="Z341" s="98" t="str">
        <f t="shared" si="213"/>
        <v>0.884638739874934-0.49679497729895i</v>
      </c>
      <c r="AA341" s="160">
        <f t="shared" si="224"/>
        <v>1.0145890545225567</v>
      </c>
      <c r="AB341" s="160">
        <f t="shared" si="225"/>
        <v>-0.51168992968532856</v>
      </c>
      <c r="AC341" s="171" t="str">
        <f t="shared" si="226"/>
        <v>0.00314049670332701-0.00626183336808797i</v>
      </c>
      <c r="AD341" s="190">
        <f t="shared" si="227"/>
        <v>-43.091549427603411</v>
      </c>
      <c r="AE341" s="169">
        <f t="shared" si="228"/>
        <v>-63.364865999674358</v>
      </c>
      <c r="AF341" s="98" t="str">
        <f t="shared" si="214"/>
        <v>-0.0000119284294234592</v>
      </c>
      <c r="AG341" s="98" t="str">
        <f t="shared" si="215"/>
        <v>0.000597776003999318i</v>
      </c>
      <c r="AH341" s="98">
        <f t="shared" si="229"/>
        <v>5.9777600399931797E-4</v>
      </c>
      <c r="AI341" s="98">
        <f t="shared" si="230"/>
        <v>1.5707963267948966</v>
      </c>
      <c r="AJ341" s="98" t="str">
        <f t="shared" si="216"/>
        <v>1+0.516243560983294i</v>
      </c>
      <c r="AK341" s="98">
        <f t="shared" si="231"/>
        <v>1.1253921157786348</v>
      </c>
      <c r="AL341" s="98">
        <f t="shared" si="232"/>
        <v>0.47655785247903609</v>
      </c>
      <c r="AM341" s="98" t="str">
        <f t="shared" si="217"/>
        <v>1+1314.59076242755i</v>
      </c>
      <c r="AN341" s="98">
        <f t="shared" si="233"/>
        <v>1314.5911427739986</v>
      </c>
      <c r="AO341" s="98">
        <f t="shared" si="234"/>
        <v>1.5700356339346571</v>
      </c>
      <c r="AP341" s="168" t="str">
        <f t="shared" si="235"/>
        <v>-20.7041328288748+10.7083299395728i</v>
      </c>
      <c r="AQ341" s="98">
        <f t="shared" si="236"/>
        <v>27.350632427015036</v>
      </c>
      <c r="AR341" s="169">
        <f t="shared" si="237"/>
        <v>152.65166186873574</v>
      </c>
      <c r="AS341" s="168" t="str">
        <f t="shared" si="238"/>
        <v>0.00203251683778657+0.16327530467854i</v>
      </c>
      <c r="AT341" s="190">
        <f t="shared" si="239"/>
        <v>-15.740917000588384</v>
      </c>
      <c r="AU341" s="169">
        <f t="shared" si="240"/>
        <v>89.286795869061393</v>
      </c>
      <c r="AV341" s="225"/>
      <c r="AX341">
        <f t="shared" si="241"/>
        <v>0</v>
      </c>
      <c r="AY341">
        <f t="shared" si="242"/>
        <v>0</v>
      </c>
    </row>
    <row r="342" spans="14:51" x14ac:dyDescent="0.2">
      <c r="N342" s="170">
        <v>24</v>
      </c>
      <c r="O342" s="199">
        <f t="shared" si="208"/>
        <v>17378.008287493791</v>
      </c>
      <c r="P342" s="189" t="str">
        <f t="shared" si="209"/>
        <v>771.276595744681</v>
      </c>
      <c r="Q342" s="160" t="str">
        <f t="shared" si="210"/>
        <v>1+111373.031266827i</v>
      </c>
      <c r="R342" s="160">
        <f t="shared" si="218"/>
        <v>111373.03127131643</v>
      </c>
      <c r="S342" s="160">
        <f t="shared" si="219"/>
        <v>1.5707873479605361</v>
      </c>
      <c r="T342" s="160" t="str">
        <f t="shared" si="211"/>
        <v>1+0.0262054191216062i</v>
      </c>
      <c r="U342" s="160">
        <f t="shared" si="220"/>
        <v>1.0003433030671716</v>
      </c>
      <c r="V342" s="160">
        <f t="shared" si="221"/>
        <v>2.6199422962031715E-2</v>
      </c>
      <c r="W342" s="98" t="str">
        <f t="shared" si="212"/>
        <v>1-0.0742486875112176i</v>
      </c>
      <c r="X342" s="160">
        <f t="shared" si="222"/>
        <v>1.0027526452705764</v>
      </c>
      <c r="Y342" s="160">
        <f t="shared" si="223"/>
        <v>-7.4112695989388924E-2</v>
      </c>
      <c r="Z342" s="98" t="str">
        <f t="shared" si="213"/>
        <v>0.879201931183919-0.508366818870289i</v>
      </c>
      <c r="AA342" s="160">
        <f t="shared" si="224"/>
        <v>1.0155948298045976</v>
      </c>
      <c r="AB342" s="160">
        <f t="shared" si="225"/>
        <v>-0.52424629173115811</v>
      </c>
      <c r="AC342" s="171" t="str">
        <f t="shared" si="226"/>
        <v>0.00313632932285356-0.00607850853550015i</v>
      </c>
      <c r="AD342" s="190">
        <f t="shared" si="227"/>
        <v>-43.298949661915245</v>
      </c>
      <c r="AE342" s="169">
        <f t="shared" si="228"/>
        <v>-62.707613936232292</v>
      </c>
      <c r="AF342" s="98" t="str">
        <f t="shared" si="214"/>
        <v>-0.0000119284294234592</v>
      </c>
      <c r="AG342" s="98" t="str">
        <f t="shared" si="215"/>
        <v>0.000611699995846094i</v>
      </c>
      <c r="AH342" s="98">
        <f t="shared" si="229"/>
        <v>6.1169999584609401E-4</v>
      </c>
      <c r="AI342" s="98">
        <f t="shared" si="230"/>
        <v>1.5707963267948966</v>
      </c>
      <c r="AJ342" s="98" t="str">
        <f t="shared" si="216"/>
        <v>1+0.528268418264264i</v>
      </c>
      <c r="AK342" s="98">
        <f t="shared" si="231"/>
        <v>1.1309586737522408</v>
      </c>
      <c r="AL342" s="98">
        <f t="shared" si="232"/>
        <v>0.48600576335199308</v>
      </c>
      <c r="AM342" s="98" t="str">
        <f t="shared" si="217"/>
        <v>1+1345.21151490912i</v>
      </c>
      <c r="AN342" s="98">
        <f t="shared" si="233"/>
        <v>1345.2118865978289</v>
      </c>
      <c r="AO342" s="98">
        <f t="shared" si="234"/>
        <v>1.5700529494117017</v>
      </c>
      <c r="AP342" s="168" t="str">
        <f t="shared" si="235"/>
        <v>-20.5008236765702+10.8494381536669i</v>
      </c>
      <c r="AQ342" s="98">
        <f t="shared" si="236"/>
        <v>27.307774965183636</v>
      </c>
      <c r="AR342" s="169">
        <f t="shared" si="237"/>
        <v>152.11132855425447</v>
      </c>
      <c r="AS342" s="168" t="str">
        <f t="shared" si="238"/>
        <v>0.0016510679829676+0.158641842720647i</v>
      </c>
      <c r="AT342" s="190">
        <f t="shared" si="239"/>
        <v>-15.991174696731621</v>
      </c>
      <c r="AU342" s="169">
        <f t="shared" si="240"/>
        <v>89.403714618022178</v>
      </c>
      <c r="AV342" s="225"/>
      <c r="AX342">
        <f t="shared" si="241"/>
        <v>0</v>
      </c>
      <c r="AY342">
        <f t="shared" si="242"/>
        <v>0</v>
      </c>
    </row>
    <row r="343" spans="14:51" x14ac:dyDescent="0.2">
      <c r="N343" s="170">
        <v>25</v>
      </c>
      <c r="O343" s="199">
        <f t="shared" si="208"/>
        <v>17782.794100389234</v>
      </c>
      <c r="P343" s="189" t="str">
        <f t="shared" si="209"/>
        <v>771.276595744681</v>
      </c>
      <c r="Q343" s="160" t="str">
        <f t="shared" si="210"/>
        <v>1+113967.242424408i</v>
      </c>
      <c r="R343" s="160">
        <f t="shared" si="218"/>
        <v>113967.24242879522</v>
      </c>
      <c r="S343" s="160">
        <f t="shared" si="219"/>
        <v>1.5707875523437587</v>
      </c>
      <c r="T343" s="160" t="str">
        <f t="shared" si="211"/>
        <v>1+0.0268158217469196i</v>
      </c>
      <c r="U343" s="160">
        <f t="shared" si="220"/>
        <v>1.0003594795352131</v>
      </c>
      <c r="V343" s="160">
        <f t="shared" si="221"/>
        <v>2.6809396870868835E-2</v>
      </c>
      <c r="W343" s="98" t="str">
        <f t="shared" si="212"/>
        <v>1-0.0759781616162721i</v>
      </c>
      <c r="X343" s="160">
        <f t="shared" si="222"/>
        <v>1.0028821870202842</v>
      </c>
      <c r="Y343" s="160">
        <f t="shared" si="223"/>
        <v>-7.5832466683483493E-2</v>
      </c>
      <c r="Z343" s="98" t="str">
        <f t="shared" si="213"/>
        <v>0.873508893593265-0.520208203258024i</v>
      </c>
      <c r="AA343" s="160">
        <f t="shared" si="224"/>
        <v>1.0166781014281125</v>
      </c>
      <c r="AB343" s="160">
        <f t="shared" si="225"/>
        <v>-0.53713255044518804</v>
      </c>
      <c r="AC343" s="171" t="str">
        <f t="shared" si="226"/>
        <v>0.00313179145622386-0.00589820713979328i</v>
      </c>
      <c r="AD343" s="190">
        <f t="shared" si="227"/>
        <v>-43.506946938984925</v>
      </c>
      <c r="AE343" s="169">
        <f t="shared" si="228"/>
        <v>-62.03288408041324</v>
      </c>
      <c r="AF343" s="98" t="str">
        <f t="shared" si="214"/>
        <v>-0.0000119284294234592</v>
      </c>
      <c r="AG343" s="98" t="str">
        <f t="shared" si="215"/>
        <v>0.000625948319127473i</v>
      </c>
      <c r="AH343" s="98">
        <f t="shared" si="229"/>
        <v>6.2594831912747301E-4</v>
      </c>
      <c r="AI343" s="98">
        <f t="shared" si="230"/>
        <v>1.5707963267948966</v>
      </c>
      <c r="AJ343" s="98" t="str">
        <f t="shared" si="216"/>
        <v>1+0.540573370453057i</v>
      </c>
      <c r="AK343" s="98">
        <f t="shared" si="231"/>
        <v>1.1367583599177873</v>
      </c>
      <c r="AL343" s="98">
        <f t="shared" si="232"/>
        <v>0.49557707966615877</v>
      </c>
      <c r="AM343" s="98" t="str">
        <f t="shared" si="217"/>
        <v>1+1376.54551634187i</v>
      </c>
      <c r="AN343" s="98">
        <f t="shared" si="233"/>
        <v>1376.5458795699133</v>
      </c>
      <c r="AO343" s="98">
        <f t="shared" si="234"/>
        <v>1.5700698707407992</v>
      </c>
      <c r="AP343" s="168" t="str">
        <f t="shared" si="235"/>
        <v>-20.2921688896911+10.9884627028412i</v>
      </c>
      <c r="AQ343" s="98">
        <f t="shared" si="236"/>
        <v>27.263346435937358</v>
      </c>
      <c r="AR343" s="169">
        <f t="shared" si="237"/>
        <v>151.5639020458091</v>
      </c>
      <c r="AS343" s="168" t="str">
        <f t="shared" si="238"/>
        <v>0.00126138801226394+0.15410098903686i</v>
      </c>
      <c r="AT343" s="190">
        <f t="shared" si="239"/>
        <v>-16.243600503047549</v>
      </c>
      <c r="AU343" s="169">
        <f t="shared" si="240"/>
        <v>89.531017965395876</v>
      </c>
      <c r="AV343" s="225"/>
      <c r="AX343">
        <f t="shared" si="241"/>
        <v>0</v>
      </c>
      <c r="AY343">
        <f t="shared" si="242"/>
        <v>0</v>
      </c>
    </row>
    <row r="344" spans="14:51" x14ac:dyDescent="0.2">
      <c r="N344" s="170">
        <v>26</v>
      </c>
      <c r="O344" s="199">
        <f t="shared" si="208"/>
        <v>18197.008586099837</v>
      </c>
      <c r="P344" s="189" t="str">
        <f t="shared" si="209"/>
        <v>771.276595744681</v>
      </c>
      <c r="Q344" s="160" t="str">
        <f t="shared" si="210"/>
        <v>1+116621.880522459i</v>
      </c>
      <c r="R344" s="160">
        <f t="shared" si="218"/>
        <v>116621.88052674635</v>
      </c>
      <c r="S344" s="160">
        <f t="shared" si="219"/>
        <v>1.5707877520746512</v>
      </c>
      <c r="T344" s="160" t="str">
        <f t="shared" si="211"/>
        <v>1+0.0274404424758727i</v>
      </c>
      <c r="U344" s="160">
        <f t="shared" si="220"/>
        <v>1.0003764180963444</v>
      </c>
      <c r="V344" s="160">
        <f t="shared" si="221"/>
        <v>2.7433558237049061E-2</v>
      </c>
      <c r="W344" s="98" t="str">
        <f t="shared" si="212"/>
        <v>1-0.0777479203483059i</v>
      </c>
      <c r="X344" s="160">
        <f t="shared" si="222"/>
        <v>1.0030178159526812</v>
      </c>
      <c r="Y344" s="160">
        <f t="shared" si="223"/>
        <v>-7.759183077237948E-2</v>
      </c>
      <c r="Z344" s="98" t="str">
        <f t="shared" si="213"/>
        <v>0.867547551406964-0.532325408920899i</v>
      </c>
      <c r="AA344" s="160">
        <f t="shared" si="224"/>
        <v>1.017845319749038</v>
      </c>
      <c r="AB344" s="160">
        <f t="shared" si="225"/>
        <v>-0.55035804970622892</v>
      </c>
      <c r="AC344" s="171" t="str">
        <f t="shared" si="226"/>
        <v>0.00312685094376398-0.00572082893318414i</v>
      </c>
      <c r="AD344" s="190">
        <f t="shared" si="227"/>
        <v>-43.715591569048669</v>
      </c>
      <c r="AE344" s="169">
        <f t="shared" si="228"/>
        <v>-61.340172559442806</v>
      </c>
      <c r="AF344" s="98" t="str">
        <f t="shared" si="214"/>
        <v>-0.0000119284294234592</v>
      </c>
      <c r="AG344" s="98" t="str">
        <f t="shared" si="215"/>
        <v>0.00064052852849306i</v>
      </c>
      <c r="AH344" s="98">
        <f t="shared" si="229"/>
        <v>6.4052852849305999E-4</v>
      </c>
      <c r="AI344" s="98">
        <f t="shared" si="230"/>
        <v>1.5707963267948966</v>
      </c>
      <c r="AJ344" s="98" t="str">
        <f t="shared" si="216"/>
        <v>1+0.553164941798202i</v>
      </c>
      <c r="AK344" s="98">
        <f t="shared" si="231"/>
        <v>1.1427998306066589</v>
      </c>
      <c r="AL344" s="98">
        <f t="shared" si="232"/>
        <v>0.50526986081093572</v>
      </c>
      <c r="AM344" s="98" t="str">
        <f t="shared" si="217"/>
        <v>1+1408.60938042813i</v>
      </c>
      <c r="AN344" s="98">
        <f t="shared" si="233"/>
        <v>1408.6097353880955</v>
      </c>
      <c r="AO344" s="98">
        <f t="shared" si="234"/>
        <v>1.5700864068938232</v>
      </c>
      <c r="AP344" s="168" t="str">
        <f t="shared" si="235"/>
        <v>-20.0781847971606+11.1251707165277i</v>
      </c>
      <c r="AQ344" s="98">
        <f t="shared" si="236"/>
        <v>27.217306121362892</v>
      </c>
      <c r="AR344" s="169">
        <f t="shared" si="237"/>
        <v>151.00949404624689</v>
      </c>
      <c r="AS344" s="168" t="str">
        <f t="shared" si="238"/>
        <v>0.000863707439655373+0.149650611067924i</v>
      </c>
      <c r="AT344" s="190">
        <f t="shared" si="239"/>
        <v>-16.498285447685802</v>
      </c>
      <c r="AU344" s="169">
        <f t="shared" si="240"/>
        <v>89.669321486804108</v>
      </c>
      <c r="AV344" s="225"/>
      <c r="AX344">
        <f t="shared" si="241"/>
        <v>0</v>
      </c>
      <c r="AY344">
        <f t="shared" si="242"/>
        <v>0</v>
      </c>
    </row>
    <row r="345" spans="14:51" x14ac:dyDescent="0.2">
      <c r="N345" s="170">
        <v>27</v>
      </c>
      <c r="O345" s="199">
        <f t="shared" si="208"/>
        <v>18620.871366628675</v>
      </c>
      <c r="P345" s="189" t="str">
        <f t="shared" si="209"/>
        <v>771.276595744681</v>
      </c>
      <c r="Q345" s="160" t="str">
        <f t="shared" si="210"/>
        <v>1+119338.353085236i</v>
      </c>
      <c r="R345" s="160">
        <f t="shared" si="218"/>
        <v>119338.35308942577</v>
      </c>
      <c r="S345" s="160">
        <f t="shared" si="219"/>
        <v>1.5707879472591135</v>
      </c>
      <c r="T345" s="160" t="str">
        <f t="shared" si="211"/>
        <v>1+0.0280796124906437i</v>
      </c>
      <c r="U345" s="160">
        <f t="shared" si="220"/>
        <v>1.0003941546398722</v>
      </c>
      <c r="V345" s="160">
        <f t="shared" si="221"/>
        <v>2.8072236052803248E-2</v>
      </c>
      <c r="W345" s="98" t="str">
        <f t="shared" si="212"/>
        <v>1-0.0795589020568236i</v>
      </c>
      <c r="X345" s="160">
        <f t="shared" si="222"/>
        <v>1.0031598172257934</v>
      </c>
      <c r="Y345" s="160">
        <f t="shared" si="223"/>
        <v>-7.9391677502899757E-2</v>
      </c>
      <c r="Z345" s="98" t="str">
        <f t="shared" si="213"/>
        <v>0.861305259818988-0.544724860561742i</v>
      </c>
      <c r="AA345" s="160">
        <f t="shared" si="224"/>
        <v>1.0191034904786971</v>
      </c>
      <c r="AB345" s="160">
        <f t="shared" si="225"/>
        <v>-0.56393234481096899</v>
      </c>
      <c r="AC345" s="171" t="str">
        <f t="shared" si="226"/>
        <v>0.00312147307160939-0.00554627605119209i</v>
      </c>
      <c r="AD345" s="190">
        <f t="shared" si="227"/>
        <v>-43.92493806261308</v>
      </c>
      <c r="AE345" s="169">
        <f t="shared" si="228"/>
        <v>-60.628964001439918</v>
      </c>
      <c r="AF345" s="98" t="str">
        <f t="shared" si="214"/>
        <v>-0.0000119284294234592</v>
      </c>
      <c r="AG345" s="98" t="str">
        <f t="shared" si="215"/>
        <v>0.000655448354562852i</v>
      </c>
      <c r="AH345" s="98">
        <f t="shared" si="229"/>
        <v>6.5544835456285205E-4</v>
      </c>
      <c r="AI345" s="98">
        <f t="shared" si="230"/>
        <v>1.5707963267948966</v>
      </c>
      <c r="AJ345" s="98" t="str">
        <f t="shared" si="216"/>
        <v>1+0.566049808517491i</v>
      </c>
      <c r="AK345" s="98">
        <f t="shared" si="231"/>
        <v>1.1490919831426412</v>
      </c>
      <c r="AL345" s="98">
        <f t="shared" si="232"/>
        <v>0.51508196017060803</v>
      </c>
      <c r="AM345" s="98" t="str">
        <f t="shared" si="217"/>
        <v>1+1441.42010785304i</v>
      </c>
      <c r="AN345" s="98">
        <f t="shared" si="233"/>
        <v>1441.4204547331324</v>
      </c>
      <c r="AO345" s="98">
        <f t="shared" si="234"/>
        <v>1.570102566638425</v>
      </c>
      <c r="AP345" s="168" t="str">
        <f t="shared" si="235"/>
        <v>-19.8589001565399+11.2593255162754i</v>
      </c>
      <c r="AQ345" s="98">
        <f t="shared" si="236"/>
        <v>27.169613475152318</v>
      </c>
      <c r="AR345" s="169">
        <f t="shared" si="237"/>
        <v>150.44822804993839</v>
      </c>
      <c r="AS345" s="168" t="str">
        <f t="shared" si="238"/>
        <v>0.000458305393075467+0.14528862374477i</v>
      </c>
      <c r="AT345" s="190">
        <f t="shared" si="239"/>
        <v>-16.755324587460777</v>
      </c>
      <c r="AU345" s="169">
        <f t="shared" si="240"/>
        <v>89.819264048498496</v>
      </c>
      <c r="AV345" s="225"/>
      <c r="AX345">
        <f t="shared" si="241"/>
        <v>0</v>
      </c>
      <c r="AY345">
        <f t="shared" si="242"/>
        <v>0</v>
      </c>
    </row>
    <row r="346" spans="14:51" x14ac:dyDescent="0.2">
      <c r="N346" s="170">
        <v>28</v>
      </c>
      <c r="O346" s="199">
        <f t="shared" si="208"/>
        <v>19054.607179632505</v>
      </c>
      <c r="P346" s="189" t="str">
        <f t="shared" si="209"/>
        <v>771.276595744681</v>
      </c>
      <c r="Q346" s="160" t="str">
        <f t="shared" si="210"/>
        <v>1+122118.100422449i</v>
      </c>
      <c r="R346" s="160">
        <f t="shared" si="218"/>
        <v>122118.10042654339</v>
      </c>
      <c r="S346" s="160">
        <f t="shared" si="219"/>
        <v>1.570788138000635</v>
      </c>
      <c r="T346" s="160" t="str">
        <f t="shared" si="211"/>
        <v>1+0.028733670687635i</v>
      </c>
      <c r="U346" s="160">
        <f t="shared" si="220"/>
        <v>1.0004127267439102</v>
      </c>
      <c r="V346" s="160">
        <f t="shared" si="221"/>
        <v>2.8725766868189017E-2</v>
      </c>
      <c r="W346" s="98" t="str">
        <f t="shared" si="212"/>
        <v>1-0.0814120669482992i</v>
      </c>
      <c r="X346" s="160">
        <f t="shared" si="222"/>
        <v>1.0033084892717665</v>
      </c>
      <c r="Y346" s="160">
        <f t="shared" si="223"/>
        <v>-8.1232914507481824E-2</v>
      </c>
      <c r="Z346" s="98" t="str">
        <f t="shared" si="213"/>
        <v>0.854768778091957-0.557413132533946i</v>
      </c>
      <c r="AA346" s="160">
        <f t="shared" si="224"/>
        <v>1.0204602218225478</v>
      </c>
      <c r="AB346" s="160">
        <f t="shared" si="225"/>
        <v>-0.5778651921084389</v>
      </c>
      <c r="AC346" s="171" t="str">
        <f t="shared" si="226"/>
        <v>0.00311562041664253-0.00537445315293795i</v>
      </c>
      <c r="AD346" s="190">
        <f t="shared" si="227"/>
        <v>-44.135045451174761</v>
      </c>
      <c r="AE346" s="169">
        <f t="shared" si="228"/>
        <v>-59.898732135321204</v>
      </c>
      <c r="AF346" s="98" t="str">
        <f t="shared" si="214"/>
        <v>-0.0000119284294234592</v>
      </c>
      <c r="AG346" s="98" t="str">
        <f t="shared" si="215"/>
        <v>0.000670715708026119i</v>
      </c>
      <c r="AH346" s="98">
        <f t="shared" si="229"/>
        <v>6.7071570802611897E-4</v>
      </c>
      <c r="AI346" s="98">
        <f t="shared" si="230"/>
        <v>1.5707963267948966</v>
      </c>
      <c r="AJ346" s="98" t="str">
        <f t="shared" si="216"/>
        <v>1+0.579234802337816i</v>
      </c>
      <c r="AK346" s="98">
        <f t="shared" si="231"/>
        <v>1.155643957384509</v>
      </c>
      <c r="AL346" s="98">
        <f t="shared" si="232"/>
        <v>0.52501102208882344</v>
      </c>
      <c r="AM346" s="98" t="str">
        <f t="shared" si="217"/>
        <v>1+1474.9950952986i</v>
      </c>
      <c r="AN346" s="98">
        <f t="shared" si="233"/>
        <v>1474.9954342827391</v>
      </c>
      <c r="AO346" s="98">
        <f t="shared" si="234"/>
        <v>1.570118358542681</v>
      </c>
      <c r="AP346" s="168" t="str">
        <f t="shared" si="235"/>
        <v>-19.6343566799712+11.3906873386464i</v>
      </c>
      <c r="AQ346" s="98">
        <f t="shared" si="236"/>
        <v>27.120228219429684</v>
      </c>
      <c r="AR346" s="169">
        <f t="shared" si="237"/>
        <v>149.88023951696499</v>
      </c>
      <c r="AS346" s="168" t="str">
        <f t="shared" si="238"/>
        <v>0.0000455129415586134+0.141012988196458i</v>
      </c>
      <c r="AT346" s="190">
        <f t="shared" si="239"/>
        <v>-17.014817231745059</v>
      </c>
      <c r="AU346" s="169">
        <f t="shared" si="240"/>
        <v>89.981507381643809</v>
      </c>
      <c r="AV346" s="225"/>
      <c r="AX346">
        <f t="shared" si="241"/>
        <v>0</v>
      </c>
      <c r="AY346">
        <f t="shared" si="242"/>
        <v>0</v>
      </c>
    </row>
    <row r="347" spans="14:51" x14ac:dyDescent="0.2">
      <c r="N347" s="170">
        <v>29</v>
      </c>
      <c r="O347" s="199">
        <f t="shared" si="208"/>
        <v>19498.445997580486</v>
      </c>
      <c r="P347" s="189" t="str">
        <f t="shared" si="209"/>
        <v>771.276595744681</v>
      </c>
      <c r="Q347" s="160" t="str">
        <f t="shared" si="210"/>
        <v>1+124962.596392929i</v>
      </c>
      <c r="R347" s="160">
        <f t="shared" si="218"/>
        <v>124962.59639693018</v>
      </c>
      <c r="S347" s="160">
        <f t="shared" si="219"/>
        <v>1.5707883244003493</v>
      </c>
      <c r="T347" s="160" t="str">
        <f t="shared" si="211"/>
        <v>1+0.0294029638571597i</v>
      </c>
      <c r="U347" s="160">
        <f t="shared" si="220"/>
        <v>1.0004321737547155</v>
      </c>
      <c r="V347" s="160">
        <f t="shared" si="221"/>
        <v>2.9394494959619363E-2</v>
      </c>
      <c r="W347" s="98" t="str">
        <f t="shared" si="212"/>
        <v>1-0.0833083975952856i</v>
      </c>
      <c r="X347" s="160">
        <f t="shared" si="222"/>
        <v>1.0034641444067118</v>
      </c>
      <c r="Y347" s="160">
        <f t="shared" si="223"/>
        <v>-8.3116468069902E-2</v>
      </c>
      <c r="Z347" s="98" t="str">
        <f t="shared" si="213"/>
        <v>0.847924241471776-0.570396952327247i</v>
      </c>
      <c r="AA347" s="160">
        <f t="shared" si="224"/>
        <v>1.0219237752884009</v>
      </c>
      <c r="AB347" s="160">
        <f t="shared" si="225"/>
        <v>-0.5921665356764253</v>
      </c>
      <c r="AC347" s="171" t="str">
        <f t="shared" si="226"/>
        <v>0.00310925269165271-0.00520526758925194i</v>
      </c>
      <c r="AD347" s="190">
        <f t="shared" si="227"/>
        <v>-44.345977625782155</v>
      </c>
      <c r="AE347" s="169">
        <f t="shared" si="228"/>
        <v>-59.148940559758721</v>
      </c>
      <c r="AF347" s="98" t="str">
        <f t="shared" si="214"/>
        <v>-0.0000119284294234592</v>
      </c>
      <c r="AG347" s="98" t="str">
        <f t="shared" si="215"/>
        <v>0.000686338683835752i</v>
      </c>
      <c r="AH347" s="98">
        <f t="shared" si="229"/>
        <v>6.8633868383575201E-4</v>
      </c>
      <c r="AI347" s="98">
        <f t="shared" si="230"/>
        <v>1.5707963267948966</v>
      </c>
      <c r="AJ347" s="98" t="str">
        <f t="shared" si="216"/>
        <v>1+0.592726914117411i</v>
      </c>
      <c r="AK347" s="98">
        <f t="shared" si="231"/>
        <v>1.162465136990847</v>
      </c>
      <c r="AL347" s="98">
        <f t="shared" si="232"/>
        <v>0.5350544794947919</v>
      </c>
      <c r="AM347" s="98" t="str">
        <f t="shared" si="217"/>
        <v>1+1509.35214466753i</v>
      </c>
      <c r="AN347" s="98">
        <f t="shared" si="233"/>
        <v>1509.35247593545</v>
      </c>
      <c r="AO347" s="98">
        <f t="shared" si="234"/>
        <v>1.5701337909796365</v>
      </c>
      <c r="AP347" s="168" t="str">
        <f t="shared" si="235"/>
        <v>-19.4046095166422+11.5190141189861i</v>
      </c>
      <c r="AQ347" s="98">
        <f t="shared" si="236"/>
        <v>27.069110445427235</v>
      </c>
      <c r="AR347" s="169">
        <f t="shared" si="237"/>
        <v>149.30567600938878</v>
      </c>
      <c r="AS347" s="168" t="str">
        <f t="shared" si="238"/>
        <v>-0.000374283516395721+0.136821710653711i</v>
      </c>
      <c r="AT347" s="190">
        <f t="shared" si="239"/>
        <v>-17.276867180354888</v>
      </c>
      <c r="AU347" s="169">
        <f t="shared" si="240"/>
        <v>90.156735449630048</v>
      </c>
      <c r="AV347" s="225"/>
      <c r="AX347">
        <f t="shared" si="241"/>
        <v>0</v>
      </c>
      <c r="AY347">
        <f t="shared" si="242"/>
        <v>0</v>
      </c>
    </row>
    <row r="348" spans="14:51" x14ac:dyDescent="0.2">
      <c r="N348" s="170">
        <v>30</v>
      </c>
      <c r="O348" s="199">
        <f t="shared" si="208"/>
        <v>19952.623149688792</v>
      </c>
      <c r="P348" s="189" t="str">
        <f t="shared" si="209"/>
        <v>771.276595744681</v>
      </c>
      <c r="Q348" s="160" t="str">
        <f t="shared" si="210"/>
        <v>1+127873.349186092i</v>
      </c>
      <c r="R348" s="160">
        <f t="shared" si="218"/>
        <v>127873.34919000212</v>
      </c>
      <c r="S348" s="160">
        <f t="shared" si="219"/>
        <v>1.5707885065570883</v>
      </c>
      <c r="T348" s="160" t="str">
        <f t="shared" si="211"/>
        <v>1+0.0300878468673158i</v>
      </c>
      <c r="U348" s="160">
        <f t="shared" si="220"/>
        <v>1.0004525368697463</v>
      </c>
      <c r="V348" s="160">
        <f t="shared" si="221"/>
        <v>3.007877250178434E-2</v>
      </c>
      <c r="W348" s="98" t="str">
        <f t="shared" si="212"/>
        <v>1-0.0852488994573948i</v>
      </c>
      <c r="X348" s="160">
        <f t="shared" si="222"/>
        <v>1.0036271094678029</v>
      </c>
      <c r="Y348" s="160">
        <f t="shared" si="223"/>
        <v>-8.50432833860503E-2</v>
      </c>
      <c r="Z348" s="98" t="str">
        <f t="shared" si="213"/>
        <v>0.840757131778601-0.583683204134772i</v>
      </c>
      <c r="AA348" s="160">
        <f t="shared" si="224"/>
        <v>1.0235031203790312</v>
      </c>
      <c r="AB348" s="160">
        <f t="shared" si="225"/>
        <v>-0.60684649063600504</v>
      </c>
      <c r="AC348" s="171" t="str">
        <f t="shared" si="226"/>
        <v>0.00310232659309182-0.00503862960118066i</v>
      </c>
      <c r="AD348" s="190">
        <f t="shared" si="227"/>
        <v>-44.557803693072245</v>
      </c>
      <c r="AE348" s="169">
        <f t="shared" si="228"/>
        <v>-58.379043704279816</v>
      </c>
      <c r="AF348" s="98" t="str">
        <f t="shared" si="214"/>
        <v>-0.0000119284294234592</v>
      </c>
      <c r="AG348" s="98" t="str">
        <f t="shared" si="215"/>
        <v>0.000702325565500319i</v>
      </c>
      <c r="AH348" s="98">
        <f t="shared" si="229"/>
        <v>7.0232556550031905E-4</v>
      </c>
      <c r="AI348" s="98">
        <f t="shared" si="230"/>
        <v>1.5707963267948966</v>
      </c>
      <c r="AJ348" s="98" t="str">
        <f t="shared" si="216"/>
        <v>1+0.606533297552544i</v>
      </c>
      <c r="AK348" s="98">
        <f t="shared" si="231"/>
        <v>1.1695651504041846</v>
      </c>
      <c r="AL348" s="98">
        <f t="shared" si="232"/>
        <v>0.54520955224382373</v>
      </c>
      <c r="AM348" s="98" t="str">
        <f t="shared" si="217"/>
        <v>1+1544.50947252221i</v>
      </c>
      <c r="AN348" s="98">
        <f t="shared" si="233"/>
        <v>1544.5097962495529</v>
      </c>
      <c r="AO348" s="98">
        <f t="shared" si="234"/>
        <v>1.5701488721317443</v>
      </c>
      <c r="AP348" s="168" t="str">
        <f t="shared" si="235"/>
        <v>-19.1697276848179+11.644062333831i</v>
      </c>
      <c r="AQ348" s="98">
        <f t="shared" si="236"/>
        <v>27.016220717654424</v>
      </c>
      <c r="AR348" s="169">
        <f t="shared" si="237"/>
        <v>148.72469728658677</v>
      </c>
      <c r="AS348" s="168" t="str">
        <f t="shared" si="238"/>
        <v>-0.000800638825705413+0.132712841589159i</v>
      </c>
      <c r="AT348" s="190">
        <f t="shared" si="239"/>
        <v>-17.541582975417793</v>
      </c>
      <c r="AU348" s="169">
        <f t="shared" si="240"/>
        <v>90.345653582306966</v>
      </c>
      <c r="AV348" s="225"/>
      <c r="AX348">
        <f t="shared" si="241"/>
        <v>0</v>
      </c>
      <c r="AY348">
        <f t="shared" si="242"/>
        <v>0</v>
      </c>
    </row>
    <row r="349" spans="14:51" x14ac:dyDescent="0.2">
      <c r="N349" s="170">
        <v>31</v>
      </c>
      <c r="O349" s="199">
        <f t="shared" si="208"/>
        <v>20417.379446695286</v>
      </c>
      <c r="P349" s="189" t="str">
        <f t="shared" si="209"/>
        <v>771.276595744681</v>
      </c>
      <c r="Q349" s="160" t="str">
        <f t="shared" si="210"/>
        <v>1+130851.902121598i</v>
      </c>
      <c r="R349" s="160">
        <f t="shared" si="218"/>
        <v>130851.9021254191</v>
      </c>
      <c r="S349" s="160">
        <f t="shared" si="219"/>
        <v>1.5707886845674337</v>
      </c>
      <c r="T349" s="160" t="str">
        <f t="shared" si="211"/>
        <v>1+0.0307886828521406i</v>
      </c>
      <c r="U349" s="160">
        <f t="shared" si="220"/>
        <v>1.0004738592246025</v>
      </c>
      <c r="V349" s="160">
        <f t="shared" si="221"/>
        <v>3.0778959743001835E-2</v>
      </c>
      <c r="W349" s="98" t="str">
        <f t="shared" si="212"/>
        <v>1-0.0872346014143983i</v>
      </c>
      <c r="X349" s="160">
        <f t="shared" si="222"/>
        <v>1.0037977264787608</v>
      </c>
      <c r="Y349" s="160">
        <f t="shared" si="223"/>
        <v>-8.7014324818873487E-2</v>
      </c>
      <c r="Z349" s="98" t="str">
        <f t="shared" si="213"/>
        <v>0.833252246611867-0.597278932503087i</v>
      </c>
      <c r="AA349" s="160">
        <f t="shared" si="224"/>
        <v>1.0252079933826845</v>
      </c>
      <c r="AB349" s="160">
        <f t="shared" si="225"/>
        <v>-0.62191532266398952</v>
      </c>
      <c r="AC349" s="171" t="str">
        <f t="shared" si="226"/>
        <v>0.00309479565433214-0.00487445255153429i</v>
      </c>
      <c r="AD349" s="190">
        <f t="shared" si="227"/>
        <v>-44.770598348066819</v>
      </c>
      <c r="AE349" s="169">
        <f t="shared" si="228"/>
        <v>-57.588488007681683</v>
      </c>
      <c r="AF349" s="98" t="str">
        <f t="shared" si="214"/>
        <v>-0.0000119284294234592</v>
      </c>
      <c r="AG349" s="98" t="str">
        <f t="shared" si="215"/>
        <v>0.000718684829476095i</v>
      </c>
      <c r="AH349" s="98">
        <f t="shared" si="229"/>
        <v>7.1868482947609505E-4</v>
      </c>
      <c r="AI349" s="98">
        <f t="shared" si="230"/>
        <v>1.5707963267948966</v>
      </c>
      <c r="AJ349" s="98" t="str">
        <f t="shared" si="216"/>
        <v>1+0.620661272970454i</v>
      </c>
      <c r="AK349" s="98">
        <f t="shared" si="231"/>
        <v>1.176953871553726</v>
      </c>
      <c r="AL349" s="98">
        <f t="shared" si="232"/>
        <v>0.55547324622228145</v>
      </c>
      <c r="AM349" s="98" t="str">
        <f t="shared" si="217"/>
        <v>1+1580.48571974322i</v>
      </c>
      <c r="AN349" s="98">
        <f t="shared" si="233"/>
        <v>1580.4860361016304</v>
      </c>
      <c r="AO349" s="98">
        <f t="shared" si="234"/>
        <v>1.5701636099952037</v>
      </c>
      <c r="AP349" s="168" t="str">
        <f t="shared" si="235"/>
        <v>-18.929794446495+11.7655878988866i</v>
      </c>
      <c r="AQ349" s="98">
        <f t="shared" si="236"/>
        <v>26.961520181146618</v>
      </c>
      <c r="AR349" s="169">
        <f t="shared" si="237"/>
        <v>148.13747535678263</v>
      </c>
      <c r="AS349" s="168" t="str">
        <f t="shared" si="238"/>
        <v>-0.00123304563638464+0.128684475139874i</v>
      </c>
      <c r="AT349" s="190">
        <f t="shared" si="239"/>
        <v>-17.809078166920223</v>
      </c>
      <c r="AU349" s="169">
        <f t="shared" si="240"/>
        <v>90.54898734910094</v>
      </c>
      <c r="AV349" s="225"/>
      <c r="AX349">
        <f t="shared" si="241"/>
        <v>0</v>
      </c>
      <c r="AY349">
        <f t="shared" si="242"/>
        <v>0</v>
      </c>
    </row>
    <row r="350" spans="14:51" x14ac:dyDescent="0.2">
      <c r="N350" s="170">
        <v>32</v>
      </c>
      <c r="O350" s="199">
        <f t="shared" si="208"/>
        <v>20892.961308540423</v>
      </c>
      <c r="P350" s="189" t="str">
        <f t="shared" si="209"/>
        <v>771.276595744681</v>
      </c>
      <c r="Q350" s="160" t="str">
        <f t="shared" si="210"/>
        <v>1+133899.834467639i</v>
      </c>
      <c r="R350" s="160">
        <f t="shared" si="218"/>
        <v>133899.83447137315</v>
      </c>
      <c r="S350" s="160">
        <f t="shared" si="219"/>
        <v>1.5707888585257688</v>
      </c>
      <c r="T350" s="160" t="str">
        <f t="shared" si="211"/>
        <v>1+0.0315058434041503i</v>
      </c>
      <c r="U350" s="160">
        <f t="shared" si="220"/>
        <v>1.000496185984038</v>
      </c>
      <c r="V350" s="160">
        <f t="shared" si="221"/>
        <v>3.1495425184042102E-2</v>
      </c>
      <c r="W350" s="98" t="str">
        <f t="shared" si="212"/>
        <v>1-0.0892665563117591i</v>
      </c>
      <c r="X350" s="160">
        <f t="shared" si="222"/>
        <v>1.0039763533449184</v>
      </c>
      <c r="Y350" s="160">
        <f t="shared" si="223"/>
        <v>-8.9030576146591614E-2</v>
      </c>
      <c r="Z350" s="98" t="str">
        <f t="shared" si="213"/>
        <v>0.825393667103932-0.611191346067342i</v>
      </c>
      <c r="AA350" s="160">
        <f t="shared" si="224"/>
        <v>1.0270489604701842</v>
      </c>
      <c r="AB350" s="160">
        <f t="shared" si="225"/>
        <v>-0.63738342322755437</v>
      </c>
      <c r="AC350" s="171" t="str">
        <f t="shared" si="226"/>
        <v>0.00308661010794305-0.00471265319210583i</v>
      </c>
      <c r="AD350" s="190">
        <f t="shared" si="227"/>
        <v>-44.984442262593738</v>
      </c>
      <c r="AE350" s="169">
        <f t="shared" si="228"/>
        <v>-56.776713340961237</v>
      </c>
      <c r="AF350" s="98" t="str">
        <f t="shared" si="214"/>
        <v>-0.0000119284294234592</v>
      </c>
      <c r="AG350" s="98" t="str">
        <f t="shared" si="215"/>
        <v>0.000735425149661378i</v>
      </c>
      <c r="AH350" s="98">
        <f t="shared" si="229"/>
        <v>7.3542514966137796E-4</v>
      </c>
      <c r="AI350" s="98">
        <f t="shared" si="230"/>
        <v>1.5707963267948966</v>
      </c>
      <c r="AJ350" s="98" t="str">
        <f t="shared" si="216"/>
        <v>1+0.635118331210722i</v>
      </c>
      <c r="AK350" s="98">
        <f t="shared" si="231"/>
        <v>1.1846414202786819</v>
      </c>
      <c r="AL350" s="98">
        <f t="shared" si="232"/>
        <v>0.56584235326422339</v>
      </c>
      <c r="AM350" s="98" t="str">
        <f t="shared" si="217"/>
        <v>1+1617.29996141305i</v>
      </c>
      <c r="AN350" s="98">
        <f t="shared" si="233"/>
        <v>1617.300270570265</v>
      </c>
      <c r="AO350" s="98">
        <f t="shared" si="234"/>
        <v>1.5701780123841991</v>
      </c>
      <c r="AP350" s="168" t="str">
        <f t="shared" si="235"/>
        <v>-18.6849076178545+11.8833471186731i</v>
      </c>
      <c r="AQ350" s="98">
        <f t="shared" si="236"/>
        <v>26.904970671331849</v>
      </c>
      <c r="AR350" s="169">
        <f t="shared" si="237"/>
        <v>147.54419448206431</v>
      </c>
      <c r="AS350" s="168" t="str">
        <f t="shared" si="238"/>
        <v>-0.00167093098753539+0.124734748862177i</v>
      </c>
      <c r="AT350" s="190">
        <f t="shared" si="239"/>
        <v>-18.079471591261882</v>
      </c>
      <c r="AU350" s="169">
        <f t="shared" si="240"/>
        <v>90.76748114110309</v>
      </c>
      <c r="AV350" s="225"/>
      <c r="AX350">
        <f t="shared" si="241"/>
        <v>0</v>
      </c>
      <c r="AY350">
        <f t="shared" si="242"/>
        <v>0</v>
      </c>
    </row>
    <row r="351" spans="14:51" x14ac:dyDescent="0.2">
      <c r="N351" s="170">
        <v>33</v>
      </c>
      <c r="O351" s="199">
        <f t="shared" si="208"/>
        <v>21379.620895022348</v>
      </c>
      <c r="P351" s="189" t="str">
        <f t="shared" si="209"/>
        <v>771.276595744681</v>
      </c>
      <c r="Q351" s="160" t="str">
        <f t="shared" si="210"/>
        <v>1+137018.762278287i</v>
      </c>
      <c r="R351" s="160">
        <f t="shared" si="218"/>
        <v>137018.76228193613</v>
      </c>
      <c r="S351" s="160">
        <f t="shared" si="219"/>
        <v>1.5707890285243287</v>
      </c>
      <c r="T351" s="160" t="str">
        <f t="shared" si="211"/>
        <v>1+0.0322397087713617i</v>
      </c>
      <c r="U351" s="160">
        <f t="shared" si="220"/>
        <v>1.0005195644372289</v>
      </c>
      <c r="V351" s="160">
        <f t="shared" si="221"/>
        <v>3.2228545760458173E-2</v>
      </c>
      <c r="W351" s="98" t="str">
        <f t="shared" si="212"/>
        <v>1-0.0913458415188582i</v>
      </c>
      <c r="X351" s="160">
        <f t="shared" si="222"/>
        <v>1.0041633645790851</v>
      </c>
      <c r="Y351" s="160">
        <f t="shared" si="223"/>
        <v>-9.1093040803168615E-2</v>
      </c>
      <c r="Z351" s="98" t="str">
        <f t="shared" si="213"/>
        <v>0.817164724154049-0.625427821373351i</v>
      </c>
      <c r="AA351" s="160">
        <f t="shared" si="224"/>
        <v>1.0290374852985575</v>
      </c>
      <c r="AB351" s="160">
        <f t="shared" si="225"/>
        <v>-0.6532612800301566</v>
      </c>
      <c r="AC351" s="171" t="str">
        <f t="shared" si="226"/>
        <v>0.0030777167611844-0.00455315196911154i</v>
      </c>
      <c r="AD351" s="190">
        <f t="shared" si="227"/>
        <v>-45.19942248770036</v>
      </c>
      <c r="AE351" s="169">
        <f t="shared" si="228"/>
        <v>-55.943154703972901</v>
      </c>
      <c r="AF351" s="98" t="str">
        <f t="shared" si="214"/>
        <v>-0.0000119284294234592</v>
      </c>
      <c r="AG351" s="98" t="str">
        <f t="shared" si="215"/>
        <v>0.000752555401995512i</v>
      </c>
      <c r="AH351" s="98">
        <f t="shared" si="229"/>
        <v>7.5255540199551199E-4</v>
      </c>
      <c r="AI351" s="98">
        <f t="shared" si="230"/>
        <v>1.5707963267948966</v>
      </c>
      <c r="AJ351" s="98" t="str">
        <f t="shared" si="216"/>
        <v>1+0.649912137596977i</v>
      </c>
      <c r="AK351" s="98">
        <f t="shared" si="231"/>
        <v>1.1926381624767304</v>
      </c>
      <c r="AL351" s="98">
        <f t="shared" si="232"/>
        <v>0.57631345192295547</v>
      </c>
      <c r="AM351" s="98" t="str">
        <f t="shared" si="217"/>
        <v>1+1654.9717169299i</v>
      </c>
      <c r="AN351" s="98">
        <f t="shared" si="233"/>
        <v>1654.972019049839</v>
      </c>
      <c r="AO351" s="98">
        <f t="shared" si="234"/>
        <v>1.5701920869350439</v>
      </c>
      <c r="AP351" s="168" t="str">
        <f t="shared" si="235"/>
        <v>-18.4351798089049+11.9970976830623i</v>
      </c>
      <c r="AQ351" s="98">
        <f t="shared" si="236"/>
        <v>26.846534825998649</v>
      </c>
      <c r="AR351" s="169">
        <f t="shared" si="237"/>
        <v>146.94505113441599</v>
      </c>
      <c r="AS351" s="168" t="str">
        <f t="shared" si="238"/>
        <v>-0.00211365295405622+0.120861843872568i</v>
      </c>
      <c r="AT351" s="190">
        <f t="shared" si="239"/>
        <v>-18.352887661701711</v>
      </c>
      <c r="AU351" s="169">
        <f t="shared" si="240"/>
        <v>91.001896430443082</v>
      </c>
      <c r="AV351" s="225"/>
      <c r="AX351">
        <f t="shared" si="241"/>
        <v>0</v>
      </c>
      <c r="AY351">
        <f t="shared" si="242"/>
        <v>0</v>
      </c>
    </row>
    <row r="352" spans="14:51" x14ac:dyDescent="0.2">
      <c r="N352" s="170">
        <v>34</v>
      </c>
      <c r="O352" s="199">
        <f t="shared" si="208"/>
        <v>21877.61623949555</v>
      </c>
      <c r="P352" s="189" t="str">
        <f t="shared" si="209"/>
        <v>771.276595744681</v>
      </c>
      <c r="Q352" s="160" t="str">
        <f t="shared" si="210"/>
        <v>1+140210.339250354i</v>
      </c>
      <c r="R352" s="160">
        <f t="shared" si="218"/>
        <v>140210.33925392007</v>
      </c>
      <c r="S352" s="160">
        <f t="shared" si="219"/>
        <v>1.5707891946532491</v>
      </c>
      <c r="T352" s="160" t="str">
        <f t="shared" si="211"/>
        <v>1+0.0329906680589069i</v>
      </c>
      <c r="U352" s="160">
        <f t="shared" si="220"/>
        <v>1.0005440440974964</v>
      </c>
      <c r="V352" s="160">
        <f t="shared" si="221"/>
        <v>3.2978707028463956E-2</v>
      </c>
      <c r="W352" s="98" t="str">
        <f t="shared" si="212"/>
        <v>1-0.093473559500236i</v>
      </c>
      <c r="X352" s="160">
        <f t="shared" si="222"/>
        <v>1.0043591520594832</v>
      </c>
      <c r="Y352" s="160">
        <f t="shared" si="223"/>
        <v>-9.3202742109993672E-2</v>
      </c>
      <c r="Z352" s="98" t="str">
        <f t="shared" si="213"/>
        <v>0.808547963070944-0.63999590678877i</v>
      </c>
      <c r="AA352" s="160">
        <f t="shared" si="224"/>
        <v>1.0311860013075007</v>
      </c>
      <c r="AB352" s="160">
        <f t="shared" si="225"/>
        <v>-0.66955944212583252</v>
      </c>
      <c r="AC352" s="171" t="str">
        <f t="shared" si="226"/>
        <v>0.00306805888967532-0.0043958733692212i</v>
      </c>
      <c r="AD352" s="190">
        <f t="shared" si="227"/>
        <v>-45.415632867837481</v>
      </c>
      <c r="AE352" s="169">
        <f t="shared" si="228"/>
        <v>-55.087244226860051</v>
      </c>
      <c r="AF352" s="98" t="str">
        <f t="shared" si="214"/>
        <v>-0.0000119284294234592</v>
      </c>
      <c r="AG352" s="98" t="str">
        <f t="shared" si="215"/>
        <v>0.000770084669165034i</v>
      </c>
      <c r="AH352" s="98">
        <f t="shared" si="229"/>
        <v>7.7008466916503402E-4</v>
      </c>
      <c r="AI352" s="98">
        <f t="shared" si="230"/>
        <v>1.5707963267948966</v>
      </c>
      <c r="AJ352" s="98" t="str">
        <f t="shared" si="216"/>
        <v>1+0.665050536001192i</v>
      </c>
      <c r="AK352" s="98">
        <f t="shared" si="231"/>
        <v>1.2009547099851321</v>
      </c>
      <c r="AL352" s="98">
        <f t="shared" si="232"/>
        <v>0.58688290913636676</v>
      </c>
      <c r="AM352" s="98" t="str">
        <f t="shared" si="217"/>
        <v>1+1693.52096035722i</v>
      </c>
      <c r="AN352" s="98">
        <f t="shared" si="233"/>
        <v>1693.5212556000711</v>
      </c>
      <c r="AO352" s="98">
        <f t="shared" si="234"/>
        <v>1.5702058411102289</v>
      </c>
      <c r="AP352" s="168" t="str">
        <f t="shared" si="235"/>
        <v>-18.1807385860489+12.1065997050794i</v>
      </c>
      <c r="AQ352" s="98">
        <f t="shared" si="236"/>
        <v>26.786176198802739</v>
      </c>
      <c r="AR352" s="169">
        <f t="shared" si="237"/>
        <v>146.34025390053205</v>
      </c>
      <c r="AS352" s="168" t="str">
        <f t="shared" si="238"/>
        <v>-0.00256049740441067+0.117063985432094i</v>
      </c>
      <c r="AT352" s="190">
        <f t="shared" si="239"/>
        <v>-18.629456669034749</v>
      </c>
      <c r="AU352" s="169">
        <f t="shared" si="240"/>
        <v>91.253009673671997</v>
      </c>
      <c r="AV352" s="225"/>
      <c r="AX352">
        <f t="shared" si="241"/>
        <v>0</v>
      </c>
      <c r="AY352">
        <f t="shared" si="242"/>
        <v>0</v>
      </c>
    </row>
    <row r="353" spans="14:51" x14ac:dyDescent="0.2">
      <c r="N353" s="170">
        <v>35</v>
      </c>
      <c r="O353" s="199">
        <f t="shared" si="208"/>
        <v>22387.211385683382</v>
      </c>
      <c r="P353" s="189" t="str">
        <f t="shared" si="209"/>
        <v>771.276595744681</v>
      </c>
      <c r="Q353" s="160" t="str">
        <f t="shared" si="210"/>
        <v>1+143476.257600194i</v>
      </c>
      <c r="R353" s="160">
        <f t="shared" si="218"/>
        <v>143476.25760367888</v>
      </c>
      <c r="S353" s="160">
        <f t="shared" si="219"/>
        <v>1.5707893570006135</v>
      </c>
      <c r="T353" s="160" t="str">
        <f t="shared" si="211"/>
        <v>1+0.0337591194353397i</v>
      </c>
      <c r="U353" s="160">
        <f t="shared" si="220"/>
        <v>1.0005696768066927</v>
      </c>
      <c r="V353" s="160">
        <f t="shared" si="221"/>
        <v>3.3746303354384465E-2</v>
      </c>
      <c r="W353" s="98" t="str">
        <f t="shared" si="212"/>
        <v>1-0.0956508384001292i</v>
      </c>
      <c r="X353" s="160">
        <f t="shared" si="222"/>
        <v>1.0045641258210685</v>
      </c>
      <c r="Y353" s="160">
        <f t="shared" si="223"/>
        <v>-9.5360723497604008E-2</v>
      </c>
      <c r="Z353" s="98" t="str">
        <f t="shared" si="213"/>
        <v>0.799525106549092-0.654903326505312i</v>
      </c>
      <c r="AA353" s="160">
        <f t="shared" si="224"/>
        <v>1.0335079888757805</v>
      </c>
      <c r="AB353" s="160">
        <f t="shared" si="225"/>
        <v>-0.68628847913030944</v>
      </c>
      <c r="AC353" s="171" t="str">
        <f t="shared" si="226"/>
        <v>0.00305757615502884-0.00424074630824811i</v>
      </c>
      <c r="AD353" s="190">
        <f t="shared" si="227"/>
        <v>-45.633174463903039</v>
      </c>
      <c r="AE353" s="169">
        <f t="shared" si="228"/>
        <v>-54.208413508937113</v>
      </c>
      <c r="AF353" s="98" t="str">
        <f t="shared" si="214"/>
        <v>-0.0000119284294234592</v>
      </c>
      <c r="AG353" s="98" t="str">
        <f t="shared" si="215"/>
        <v>0.00078802224541942i</v>
      </c>
      <c r="AH353" s="98">
        <f t="shared" si="229"/>
        <v>7.8802224541942001E-4</v>
      </c>
      <c r="AI353" s="98">
        <f t="shared" si="230"/>
        <v>1.5707963267948966</v>
      </c>
      <c r="AJ353" s="98" t="str">
        <f t="shared" si="216"/>
        <v>1+0.680541553002576i</v>
      </c>
      <c r="AK353" s="98">
        <f t="shared" si="231"/>
        <v>1.2096019202048076</v>
      </c>
      <c r="AL353" s="98">
        <f t="shared" si="232"/>
        <v>0.5975468828193875</v>
      </c>
      <c r="AM353" s="98" t="str">
        <f t="shared" si="217"/>
        <v>1+1732.96813101411i</v>
      </c>
      <c r="AN353" s="98">
        <f t="shared" si="233"/>
        <v>1732.9684195364143</v>
      </c>
      <c r="AO353" s="98">
        <f t="shared" si="234"/>
        <v>1.5702192822023793</v>
      </c>
      <c r="AP353" s="168" t="str">
        <f t="shared" si="235"/>
        <v>-17.9217265517541+12.2116167934837i</v>
      </c>
      <c r="AQ353" s="98">
        <f t="shared" si="236"/>
        <v>26.723859373699543</v>
      </c>
      <c r="AR353" s="169">
        <f t="shared" si="237"/>
        <v>145.73002333350837</v>
      </c>
      <c r="AS353" s="168" t="str">
        <f t="shared" si="238"/>
        <v>-0.00301067492688395+0.113339444033889i</v>
      </c>
      <c r="AT353" s="190">
        <f t="shared" si="239"/>
        <v>-18.909315090203489</v>
      </c>
      <c r="AU353" s="169">
        <f t="shared" si="240"/>
        <v>91.521609824571257</v>
      </c>
      <c r="AV353" s="225"/>
      <c r="AX353">
        <f t="shared" si="241"/>
        <v>0</v>
      </c>
      <c r="AY353">
        <f t="shared" si="242"/>
        <v>0</v>
      </c>
    </row>
    <row r="354" spans="14:51" x14ac:dyDescent="0.2">
      <c r="N354" s="170">
        <v>36</v>
      </c>
      <c r="O354" s="199">
        <f t="shared" si="208"/>
        <v>22908.676527677751</v>
      </c>
      <c r="P354" s="189" t="str">
        <f t="shared" si="209"/>
        <v>771.276595744681</v>
      </c>
      <c r="Q354" s="160" t="str">
        <f t="shared" si="210"/>
        <v>1+146818.248960948i</v>
      </c>
      <c r="R354" s="160">
        <f t="shared" si="218"/>
        <v>146818.24896435355</v>
      </c>
      <c r="S354" s="160">
        <f t="shared" si="219"/>
        <v>1.5707895156525007</v>
      </c>
      <c r="T354" s="160" t="str">
        <f t="shared" si="211"/>
        <v>1+0.0345454703437524i</v>
      </c>
      <c r="U354" s="160">
        <f t="shared" si="220"/>
        <v>1.0005965168444626</v>
      </c>
      <c r="V354" s="160">
        <f t="shared" si="221"/>
        <v>3.453173810771757E-2</v>
      </c>
      <c r="W354" s="98" t="str">
        <f t="shared" si="212"/>
        <v>1-0.0978788326406316i</v>
      </c>
      <c r="X354" s="160">
        <f t="shared" si="222"/>
        <v>1.0047787148815865</v>
      </c>
      <c r="Y354" s="160">
        <f t="shared" si="223"/>
        <v>-9.7568048716236838E-2</v>
      </c>
      <c r="Z354" s="98" t="str">
        <f t="shared" si="213"/>
        <v>0.790077015900089-0.670157984634244i</v>
      </c>
      <c r="AA354" s="160">
        <f t="shared" si="224"/>
        <v>1.0360180574790292</v>
      </c>
      <c r="AB354" s="160">
        <f t="shared" si="225"/>
        <v>-0.70345893393537196</v>
      </c>
      <c r="AC354" s="171" t="str">
        <f t="shared" si="226"/>
        <v>0.00304620455313876-0.00408770456411649i</v>
      </c>
      <c r="AD354" s="190">
        <f t="shared" si="227"/>
        <v>-45.852155981447424</v>
      </c>
      <c r="AE354" s="169">
        <f t="shared" si="228"/>
        <v>-53.306096328961793</v>
      </c>
      <c r="AF354" s="98" t="str">
        <f t="shared" si="214"/>
        <v>-0.0000119284294234592</v>
      </c>
      <c r="AG354" s="98" t="str">
        <f t="shared" si="215"/>
        <v>0.000806377641499039i</v>
      </c>
      <c r="AH354" s="98">
        <f t="shared" si="229"/>
        <v>8.0637764149903905E-4</v>
      </c>
      <c r="AI354" s="98">
        <f t="shared" si="230"/>
        <v>1.5707963267948966</v>
      </c>
      <c r="AJ354" s="98" t="str">
        <f t="shared" si="216"/>
        <v>1+0.696393402143402i</v>
      </c>
      <c r="AK354" s="98">
        <f t="shared" si="231"/>
        <v>1.2185908954808673</v>
      </c>
      <c r="AL354" s="98">
        <f t="shared" si="232"/>
        <v>0.60830132541106363</v>
      </c>
      <c r="AM354" s="98" t="str">
        <f t="shared" si="217"/>
        <v>1+1773.33414431262i</v>
      </c>
      <c r="AN354" s="98">
        <f t="shared" si="233"/>
        <v>1773.3344262673561</v>
      </c>
      <c r="AO354" s="98">
        <f t="shared" si="234"/>
        <v>1.5702324173381204</v>
      </c>
      <c r="AP354" s="168" t="str">
        <f t="shared" si="235"/>
        <v>-17.6583013360883+12.3119171528423i</v>
      </c>
      <c r="AQ354" s="98">
        <f t="shared" si="236"/>
        <v>26.659550079652838</v>
      </c>
      <c r="AR354" s="169">
        <f t="shared" si="237"/>
        <v>145.11459174983119</v>
      </c>
      <c r="AS354" s="168" t="str">
        <f t="shared" si="238"/>
        <v>-0.00346331799199086+0.109686537054928i</v>
      </c>
      <c r="AT354" s="190">
        <f t="shared" si="239"/>
        <v>-19.192605901794572</v>
      </c>
      <c r="AU354" s="169">
        <f t="shared" si="240"/>
        <v>91.808495420869377</v>
      </c>
      <c r="AV354" s="225"/>
      <c r="AX354">
        <f t="shared" si="241"/>
        <v>0</v>
      </c>
      <c r="AY354">
        <f t="shared" si="242"/>
        <v>0</v>
      </c>
    </row>
    <row r="355" spans="14:51" x14ac:dyDescent="0.2">
      <c r="N355" s="170">
        <v>37</v>
      </c>
      <c r="O355" s="199">
        <f t="shared" si="208"/>
        <v>23442.288153199243</v>
      </c>
      <c r="P355" s="189" t="str">
        <f t="shared" si="209"/>
        <v>771.276595744681</v>
      </c>
      <c r="Q355" s="160" t="str">
        <f t="shared" si="210"/>
        <v>1+150238.085300669i</v>
      </c>
      <c r="R355" s="160">
        <f t="shared" si="218"/>
        <v>150238.08530399704</v>
      </c>
      <c r="S355" s="160">
        <f t="shared" si="219"/>
        <v>1.5707896706930302</v>
      </c>
      <c r="T355" s="160" t="str">
        <f t="shared" si="211"/>
        <v>1+0.0353501377178045i</v>
      </c>
      <c r="U355" s="160">
        <f t="shared" si="220"/>
        <v>1.0006246210426104</v>
      </c>
      <c r="V355" s="160">
        <f t="shared" si="221"/>
        <v>3.5335423857823935E-2</v>
      </c>
      <c r="W355" s="98" t="str">
        <f t="shared" si="212"/>
        <v>1-0.100158723533779i</v>
      </c>
      <c r="X355" s="160">
        <f t="shared" si="222"/>
        <v>1.0050033681037671</v>
      </c>
      <c r="Y355" s="160">
        <f t="shared" si="223"/>
        <v>-9.9825802033874214E-2</v>
      </c>
      <c r="Z355" s="98" t="str">
        <f t="shared" si="213"/>
        <v>0.780183650456948-0.685767969397216i</v>
      </c>
      <c r="AA355" s="160">
        <f t="shared" si="224"/>
        <v>1.0387320329572542</v>
      </c>
      <c r="AB355" s="160">
        <f t="shared" si="225"/>
        <v>-0.72108126831877828</v>
      </c>
      <c r="AC355" s="171" t="str">
        <f t="shared" si="226"/>
        <v>0.00303387640075482-0.00393668725509958i</v>
      </c>
      <c r="AD355" s="190">
        <f t="shared" si="227"/>
        <v>-46.072694199431737</v>
      </c>
      <c r="AE355" s="169">
        <f t="shared" si="228"/>
        <v>-52.379731761538878</v>
      </c>
      <c r="AF355" s="98" t="str">
        <f t="shared" si="214"/>
        <v>-0.0000119284294234592</v>
      </c>
      <c r="AG355" s="98" t="str">
        <f t="shared" si="215"/>
        <v>0.000825160589677848i</v>
      </c>
      <c r="AH355" s="98">
        <f t="shared" si="229"/>
        <v>8.2516058967784802E-4</v>
      </c>
      <c r="AI355" s="98">
        <f t="shared" si="230"/>
        <v>1.5707963267948966</v>
      </c>
      <c r="AJ355" s="98" t="str">
        <f t="shared" si="216"/>
        <v>1+0.712614488283897i</v>
      </c>
      <c r="AK355" s="98">
        <f t="shared" si="231"/>
        <v>1.2279329822560026</v>
      </c>
      <c r="AL355" s="98">
        <f t="shared" si="232"/>
        <v>0.61914198839680856</v>
      </c>
      <c r="AM355" s="98" t="str">
        <f t="shared" si="217"/>
        <v>1+1814.6404028473i</v>
      </c>
      <c r="AN355" s="98">
        <f t="shared" si="233"/>
        <v>1814.6406783839636</v>
      </c>
      <c r="AO355" s="98">
        <f t="shared" si="234"/>
        <v>1.570245253481857</v>
      </c>
      <c r="AP355" s="168" t="str">
        <f t="shared" si="235"/>
        <v>-17.3906354955629+12.4072747030351i</v>
      </c>
      <c r="AQ355" s="98">
        <f t="shared" si="236"/>
        <v>26.593215304927305</v>
      </c>
      <c r="AR355" s="169">
        <f t="shared" si="237"/>
        <v>144.4942029704855</v>
      </c>
      <c r="AS355" s="168" t="str">
        <f t="shared" si="238"/>
        <v>-0.00391747843015969+0.106103631032685i</v>
      </c>
      <c r="AT355" s="190">
        <f t="shared" si="239"/>
        <v>-19.479478894504464</v>
      </c>
      <c r="AU355" s="169">
        <f t="shared" si="240"/>
        <v>92.11447120894664</v>
      </c>
      <c r="AV355" s="225"/>
      <c r="AX355">
        <f t="shared" si="241"/>
        <v>0</v>
      </c>
      <c r="AY355">
        <f t="shared" si="242"/>
        <v>0</v>
      </c>
    </row>
    <row r="356" spans="14:51" x14ac:dyDescent="0.2">
      <c r="N356" s="170">
        <v>38</v>
      </c>
      <c r="O356" s="199">
        <f t="shared" si="208"/>
        <v>23988.329190194923</v>
      </c>
      <c r="P356" s="189" t="str">
        <f t="shared" si="209"/>
        <v>771.276595744681</v>
      </c>
      <c r="Q356" s="160" t="str">
        <f t="shared" si="210"/>
        <v>1+153737.579861852i</v>
      </c>
      <c r="R356" s="160">
        <f t="shared" si="218"/>
        <v>153737.57986510429</v>
      </c>
      <c r="S356" s="160">
        <f t="shared" si="219"/>
        <v>1.5707898222044063</v>
      </c>
      <c r="T356" s="160" t="str">
        <f t="shared" si="211"/>
        <v>1+0.0361735482027888i</v>
      </c>
      <c r="U356" s="160">
        <f t="shared" si="220"/>
        <v>1.0006540489048048</v>
      </c>
      <c r="V356" s="160">
        <f t="shared" si="221"/>
        <v>3.6157782574279575E-2</v>
      </c>
      <c r="W356" s="98" t="str">
        <f t="shared" si="212"/>
        <v>1-0.102491719907901i</v>
      </c>
      <c r="X356" s="160">
        <f t="shared" si="222"/>
        <v>1.0052385550950977</v>
      </c>
      <c r="Y356" s="160">
        <f t="shared" si="223"/>
        <v>-0.10213508842038638</v>
      </c>
      <c r="Z356" s="98" t="str">
        <f t="shared" si="213"/>
        <v>0.769824025065136-0.701741557414772i</v>
      </c>
      <c r="AA356" s="160">
        <f t="shared" si="224"/>
        <v>1.0416670499590532</v>
      </c>
      <c r="AB356" s="160">
        <f t="shared" si="225"/>
        <v>-0.73916580083970451</v>
      </c>
      <c r="AC356" s="171" t="str">
        <f t="shared" si="226"/>
        <v>0.0030205203689614-0.00378763936347804i</v>
      </c>
      <c r="AD356" s="190">
        <f t="shared" si="227"/>
        <v>-46.294914393914901</v>
      </c>
      <c r="AE356" s="169">
        <f t="shared" si="228"/>
        <v>-51.428767734520413</v>
      </c>
      <c r="AF356" s="98" t="str">
        <f t="shared" si="214"/>
        <v>-0.0000119284294234592</v>
      </c>
      <c r="AG356" s="98" t="str">
        <f t="shared" si="215"/>
        <v>0.000844381048923597i</v>
      </c>
      <c r="AH356" s="98">
        <f t="shared" si="229"/>
        <v>8.44381048923597E-4</v>
      </c>
      <c r="AI356" s="98">
        <f t="shared" si="230"/>
        <v>1.5707963267948966</v>
      </c>
      <c r="AJ356" s="98" t="str">
        <f t="shared" si="216"/>
        <v>1+0.729213412058645i</v>
      </c>
      <c r="AK356" s="98">
        <f t="shared" si="231"/>
        <v>1.2376397700163853</v>
      </c>
      <c r="AL356" s="98">
        <f t="shared" si="232"/>
        <v>0.63006442781919814</v>
      </c>
      <c r="AM356" s="98" t="str">
        <f t="shared" si="217"/>
        <v>1+1856.90880774316i</v>
      </c>
      <c r="AN356" s="98">
        <f t="shared" si="233"/>
        <v>1856.9090770078442</v>
      </c>
      <c r="AO356" s="98">
        <f t="shared" si="234"/>
        <v>1.5702577974394654</v>
      </c>
      <c r="AP356" s="168" t="str">
        <f t="shared" si="235"/>
        <v>-17.1189163155381+12.4974702094383i</v>
      </c>
      <c r="AQ356" s="98">
        <f t="shared" si="236"/>
        <v>26.524823410243702</v>
      </c>
      <c r="AR356" s="169">
        <f t="shared" si="237"/>
        <v>143.86911200542491</v>
      </c>
      <c r="AS356" s="168" t="str">
        <f t="shared" si="238"/>
        <v>-0.00437212531646583+0.102589144624915i</v>
      </c>
      <c r="AT356" s="190">
        <f t="shared" si="239"/>
        <v>-19.770090983671224</v>
      </c>
      <c r="AU356" s="169">
        <f t="shared" si="240"/>
        <v>92.440344270904504</v>
      </c>
      <c r="AV356" s="225"/>
      <c r="AX356">
        <f t="shared" si="241"/>
        <v>0</v>
      </c>
      <c r="AY356">
        <f t="shared" si="242"/>
        <v>0</v>
      </c>
    </row>
    <row r="357" spans="14:51" x14ac:dyDescent="0.2">
      <c r="N357" s="170">
        <v>39</v>
      </c>
      <c r="O357" s="199">
        <f t="shared" si="208"/>
        <v>24547.089156850321</v>
      </c>
      <c r="P357" s="189" t="str">
        <f t="shared" si="209"/>
        <v>771.276595744681</v>
      </c>
      <c r="Q357" s="160" t="str">
        <f t="shared" si="210"/>
        <v>1+157318.588122836i</v>
      </c>
      <c r="R357" s="160">
        <f t="shared" si="218"/>
        <v>157318.58812601425</v>
      </c>
      <c r="S357" s="160">
        <f t="shared" si="219"/>
        <v>1.5707899702669623</v>
      </c>
      <c r="T357" s="160" t="str">
        <f t="shared" si="211"/>
        <v>1+0.0370161383818437i</v>
      </c>
      <c r="U357" s="160">
        <f t="shared" si="220"/>
        <v>1.0006848627318712</v>
      </c>
      <c r="V357" s="160">
        <f t="shared" si="221"/>
        <v>3.6999245830902715E-2</v>
      </c>
      <c r="W357" s="98" t="str">
        <f t="shared" si="212"/>
        <v>1-0.104879058748557i</v>
      </c>
      <c r="X357" s="160">
        <f t="shared" si="222"/>
        <v>1.0054847671466651</v>
      </c>
      <c r="Y357" s="160">
        <f t="shared" si="223"/>
        <v>-0.10449703371624657</v>
      </c>
      <c r="Z357" s="98" t="str">
        <f t="shared" si="213"/>
        <v>0.758976165570257-0.718087218094717i</v>
      </c>
      <c r="AA357" s="160">
        <f t="shared" si="224"/>
        <v>1.0448416495788919</v>
      </c>
      <c r="AB357" s="160">
        <f t="shared" si="225"/>
        <v>-0.75772263642141724</v>
      </c>
      <c r="AC357" s="171" t="str">
        <f t="shared" si="226"/>
        <v>0.00300606157315429-0.0036405123036845i</v>
      </c>
      <c r="AD357" s="190">
        <f t="shared" si="227"/>
        <v>-46.518950749905045</v>
      </c>
      <c r="AE357" s="169">
        <f t="shared" si="228"/>
        <v>-50.45266506160371</v>
      </c>
      <c r="AF357" s="98" t="str">
        <f t="shared" si="214"/>
        <v>-0.0000119284294234592</v>
      </c>
      <c r="AG357" s="98" t="str">
        <f t="shared" si="215"/>
        <v>0.00086404921017819i</v>
      </c>
      <c r="AH357" s="98">
        <f t="shared" si="229"/>
        <v>8.6404921017819005E-4</v>
      </c>
      <c r="AI357" s="98">
        <f t="shared" si="230"/>
        <v>1.5707963267948966</v>
      </c>
      <c r="AJ357" s="98" t="str">
        <f t="shared" si="216"/>
        <v>1+0.746198974436748i</v>
      </c>
      <c r="AK357" s="98">
        <f t="shared" si="231"/>
        <v>1.2477230900526184</v>
      </c>
      <c r="AL357" s="98">
        <f t="shared" si="232"/>
        <v>0.64106401078253317</v>
      </c>
      <c r="AM357" s="98" t="str">
        <f t="shared" si="217"/>
        <v>1+1900.16177026798i</v>
      </c>
      <c r="AN357" s="98">
        <f t="shared" si="233"/>
        <v>1900.1620334034526</v>
      </c>
      <c r="AO357" s="98">
        <f t="shared" si="234"/>
        <v>1.570270055861902</v>
      </c>
      <c r="AP357" s="168" t="str">
        <f t="shared" si="235"/>
        <v>-16.8433455133551+12.582292414427i</v>
      </c>
      <c r="AQ357" s="98">
        <f t="shared" si="236"/>
        <v>26.454344240050581</v>
      </c>
      <c r="AR357" s="169">
        <f t="shared" si="237"/>
        <v>143.23958468109069</v>
      </c>
      <c r="AS357" s="168" t="str">
        <f t="shared" si="238"/>
        <v>-0.00482614336777984+0.0991415523057781i</v>
      </c>
      <c r="AT357" s="190">
        <f t="shared" si="239"/>
        <v>-20.064606509854453</v>
      </c>
      <c r="AU357" s="169">
        <f t="shared" si="240"/>
        <v>92.78691961948698</v>
      </c>
      <c r="AV357" s="225"/>
      <c r="AX357">
        <f t="shared" si="241"/>
        <v>0</v>
      </c>
      <c r="AY357">
        <f t="shared" si="242"/>
        <v>0</v>
      </c>
    </row>
    <row r="358" spans="14:51" x14ac:dyDescent="0.2">
      <c r="N358" s="170">
        <v>40</v>
      </c>
      <c r="O358" s="199">
        <f t="shared" si="208"/>
        <v>25118.86431509586</v>
      </c>
      <c r="P358" s="189" t="str">
        <f t="shared" si="209"/>
        <v>771.276595744681</v>
      </c>
      <c r="Q358" s="160" t="str">
        <f t="shared" si="210"/>
        <v>1+160983.008781601i</v>
      </c>
      <c r="R358" s="160">
        <f t="shared" si="218"/>
        <v>160983.00878470694</v>
      </c>
      <c r="S358" s="160">
        <f t="shared" si="219"/>
        <v>1.5707901149592032</v>
      </c>
      <c r="T358" s="160" t="str">
        <f t="shared" si="211"/>
        <v>1+0.0378783550074355i</v>
      </c>
      <c r="U358" s="160">
        <f t="shared" si="220"/>
        <v>1.0007171277529276</v>
      </c>
      <c r="V358" s="160">
        <f t="shared" si="221"/>
        <v>3.7860255013474439E-2</v>
      </c>
      <c r="W358" s="98" t="str">
        <f t="shared" si="212"/>
        <v>1-0.1073220058544i</v>
      </c>
      <c r="X358" s="160">
        <f t="shared" si="222"/>
        <v>1.005742518212595</v>
      </c>
      <c r="Y358" s="160">
        <f t="shared" si="223"/>
        <v>-0.10691278478420561</v>
      </c>
      <c r="Z358" s="98" t="str">
        <f t="shared" si="213"/>
        <v>0.747617062207921-0.734813618122708i</v>
      </c>
      <c r="AA358" s="160">
        <f t="shared" si="224"/>
        <v>1.0482758821431442</v>
      </c>
      <c r="AB358" s="160">
        <f t="shared" si="225"/>
        <v>-0.77676158705341858</v>
      </c>
      <c r="AC358" s="171" t="str">
        <f t="shared" si="226"/>
        <v>0.00299042173005349-0.00349526453263094i</v>
      </c>
      <c r="AD358" s="190">
        <f t="shared" si="227"/>
        <v>-46.744946753361852</v>
      </c>
      <c r="AE358" s="169">
        <f t="shared" si="228"/>
        <v>-49.450901982551464</v>
      </c>
      <c r="AF358" s="98" t="str">
        <f t="shared" si="214"/>
        <v>-0.0000119284294234592</v>
      </c>
      <c r="AG358" s="98" t="str">
        <f t="shared" si="215"/>
        <v>0.000884175501761063i</v>
      </c>
      <c r="AH358" s="98">
        <f t="shared" si="229"/>
        <v>8.8417550176106299E-4</v>
      </c>
      <c r="AI358" s="98">
        <f t="shared" si="230"/>
        <v>1.5707963267948966</v>
      </c>
      <c r="AJ358" s="98" t="str">
        <f t="shared" si="216"/>
        <v>1+0.763580181388213i</v>
      </c>
      <c r="AK358" s="98">
        <f t="shared" si="231"/>
        <v>1.2581950140613563</v>
      </c>
      <c r="AL358" s="98">
        <f t="shared" si="232"/>
        <v>0.65213592294805811</v>
      </c>
      <c r="AM358" s="98" t="str">
        <f t="shared" si="217"/>
        <v>1+1944.42222371502i</v>
      </c>
      <c r="AN358" s="98">
        <f t="shared" si="233"/>
        <v>1944.4224808607985</v>
      </c>
      <c r="AO358" s="98">
        <f t="shared" si="234"/>
        <v>1.5702820352487301</v>
      </c>
      <c r="AP358" s="168" t="str">
        <f t="shared" si="235"/>
        <v>-16.5641388403712+12.6615391603219i</v>
      </c>
      <c r="AQ358" s="98">
        <f t="shared" si="236"/>
        <v>26.381749231146262</v>
      </c>
      <c r="AR358" s="169">
        <f t="shared" si="237"/>
        <v>142.60589721117296</v>
      </c>
      <c r="AS358" s="168" t="str">
        <f t="shared" si="238"/>
        <v>-0.00527833197227819+0.0957593888432739i</v>
      </c>
      <c r="AT358" s="190">
        <f t="shared" si="239"/>
        <v>-20.363197522215589</v>
      </c>
      <c r="AU358" s="169">
        <f t="shared" si="240"/>
        <v>93.154995228621473</v>
      </c>
      <c r="AV358" s="225"/>
      <c r="AX358">
        <f t="shared" si="241"/>
        <v>0</v>
      </c>
      <c r="AY358">
        <f t="shared" si="242"/>
        <v>0</v>
      </c>
    </row>
    <row r="359" spans="14:51" x14ac:dyDescent="0.2">
      <c r="N359" s="170">
        <v>41</v>
      </c>
      <c r="O359" s="199">
        <f t="shared" si="208"/>
        <v>25703.95782768865</v>
      </c>
      <c r="P359" s="189" t="str">
        <f t="shared" si="209"/>
        <v>771.276595744681</v>
      </c>
      <c r="Q359" s="160" t="str">
        <f t="shared" si="210"/>
        <v>1+164732.784762483i</v>
      </c>
      <c r="R359" s="160">
        <f t="shared" si="218"/>
        <v>164732.78476551821</v>
      </c>
      <c r="S359" s="160">
        <f t="shared" si="219"/>
        <v>1.5707902563578464</v>
      </c>
      <c r="T359" s="160" t="str">
        <f t="shared" si="211"/>
        <v>1+0.0387606552382313i</v>
      </c>
      <c r="U359" s="160">
        <f t="shared" si="220"/>
        <v>1.0007509122626355</v>
      </c>
      <c r="V359" s="160">
        <f t="shared" si="221"/>
        <v>3.8741261531162481E-2</v>
      </c>
      <c r="W359" s="98" t="str">
        <f t="shared" si="212"/>
        <v>1-0.109821856508322i</v>
      </c>
      <c r="X359" s="160">
        <f t="shared" si="222"/>
        <v>1.0060123459316661</v>
      </c>
      <c r="Y359" s="160">
        <f t="shared" si="223"/>
        <v>-0.10938350964220642</v>
      </c>
      <c r="Z359" s="98" t="str">
        <f t="shared" si="213"/>
        <v>0.735722620796961-0.751929626057432i</v>
      </c>
      <c r="AA359" s="160">
        <f t="shared" si="224"/>
        <v>1.051991415029238</v>
      </c>
      <c r="AB359" s="160">
        <f t="shared" si="225"/>
        <v>-0.796292083098183</v>
      </c>
      <c r="AC359" s="171" t="str">
        <f t="shared" si="226"/>
        <v>0.00297351939313631-0.00335186219823668i</v>
      </c>
      <c r="AD359" s="190">
        <f t="shared" si="227"/>
        <v>-46.973055553985006</v>
      </c>
      <c r="AE359" s="169">
        <f t="shared" si="228"/>
        <v>-48.422979240449664</v>
      </c>
      <c r="AF359" s="98" t="str">
        <f t="shared" si="214"/>
        <v>-0.0000119284294234592</v>
      </c>
      <c r="AG359" s="98" t="str">
        <f t="shared" si="215"/>
        <v>0.000904770594898414i</v>
      </c>
      <c r="AH359" s="98">
        <f t="shared" si="229"/>
        <v>9.04770594898414E-4</v>
      </c>
      <c r="AI359" s="98">
        <f t="shared" si="230"/>
        <v>1.5707963267948966</v>
      </c>
      <c r="AJ359" s="98" t="str">
        <f t="shared" si="216"/>
        <v>1+0.781366248659023i</v>
      </c>
      <c r="AK359" s="98">
        <f t="shared" si="231"/>
        <v>1.2690678526160351</v>
      </c>
      <c r="AL359" s="98">
        <f t="shared" si="232"/>
        <v>0.66327517700783389</v>
      </c>
      <c r="AM359" s="98" t="str">
        <f t="shared" si="217"/>
        <v>1+1989.71363556254i</v>
      </c>
      <c r="AN359" s="98">
        <f t="shared" si="233"/>
        <v>1989.7138868549669</v>
      </c>
      <c r="AO359" s="98">
        <f t="shared" si="234"/>
        <v>1.5702937419515657</v>
      </c>
      <c r="AP359" s="168" t="str">
        <f t="shared" si="235"/>
        <v>-16.281525582171+12.73501849353i</v>
      </c>
      <c r="AQ359" s="98">
        <f t="shared" si="236"/>
        <v>26.307011517877754</v>
      </c>
      <c r="AR359" s="169">
        <f t="shared" si="237"/>
        <v>141.96833571128843</v>
      </c>
      <c r="AS359" s="168" t="str">
        <f t="shared" si="238"/>
        <v>-0.00572740498612218+0.0924412545909634i</v>
      </c>
      <c r="AT359" s="190">
        <f t="shared" si="239"/>
        <v>-20.666044036107252</v>
      </c>
      <c r="AU359" s="169">
        <f t="shared" si="240"/>
        <v>93.545356470838797</v>
      </c>
      <c r="AV359" s="225"/>
      <c r="AX359">
        <f t="shared" si="241"/>
        <v>0</v>
      </c>
      <c r="AY359">
        <f t="shared" si="242"/>
        <v>0</v>
      </c>
    </row>
    <row r="360" spans="14:51" x14ac:dyDescent="0.2">
      <c r="N360" s="170">
        <v>42</v>
      </c>
      <c r="O360" s="199">
        <f t="shared" si="208"/>
        <v>26302.679918953829</v>
      </c>
      <c r="P360" s="189" t="str">
        <f t="shared" si="209"/>
        <v>771.276595744681</v>
      </c>
      <c r="Q360" s="160" t="str">
        <f t="shared" si="210"/>
        <v>1+168569.904246342i</v>
      </c>
      <c r="R360" s="160">
        <f t="shared" si="218"/>
        <v>168569.90424930811</v>
      </c>
      <c r="S360" s="160">
        <f t="shared" si="219"/>
        <v>1.5707903945378638</v>
      </c>
      <c r="T360" s="160" t="str">
        <f t="shared" si="211"/>
        <v>1+0.0396635068814923i</v>
      </c>
      <c r="U360" s="160">
        <f t="shared" si="220"/>
        <v>1.0007862877648446</v>
      </c>
      <c r="V360" s="160">
        <f t="shared" si="221"/>
        <v>3.9642727031658491E-2</v>
      </c>
      <c r="W360" s="98" t="str">
        <f t="shared" si="212"/>
        <v>1-0.112379936164228i</v>
      </c>
      <c r="X360" s="160">
        <f t="shared" si="222"/>
        <v>1.0062948126927198</v>
      </c>
      <c r="Y360" s="160">
        <f t="shared" si="223"/>
        <v>-0.11191039757568813</v>
      </c>
      <c r="Z360" s="98" t="str">
        <f t="shared" si="213"/>
        <v>0.723267611632425-0.769444317032857i</v>
      </c>
      <c r="AA360" s="160">
        <f t="shared" si="224"/>
        <v>1.0560116453196111</v>
      </c>
      <c r="AB360" s="160">
        <f t="shared" si="225"/>
        <v>-0.81632307476787314</v>
      </c>
      <c r="AC360" s="171" t="str">
        <f t="shared" si="226"/>
        <v>0.00295527027856766-0.0032102798201544i</v>
      </c>
      <c r="AD360" s="190">
        <f t="shared" si="227"/>
        <v>-47.203440287985444</v>
      </c>
      <c r="AE360" s="169">
        <f t="shared" si="228"/>
        <v>-47.368425720782405</v>
      </c>
      <c r="AF360" s="98" t="str">
        <f t="shared" si="214"/>
        <v>-0.0000119284294234592</v>
      </c>
      <c r="AG360" s="98" t="str">
        <f t="shared" si="215"/>
        <v>0.000925845409381236i</v>
      </c>
      <c r="AH360" s="98">
        <f t="shared" si="229"/>
        <v>9.2584540938123595E-4</v>
      </c>
      <c r="AI360" s="98">
        <f t="shared" si="230"/>
        <v>1.5707963267948966</v>
      </c>
      <c r="AJ360" s="98" t="str">
        <f t="shared" si="216"/>
        <v>1+0.799566606657479i</v>
      </c>
      <c r="AK360" s="98">
        <f t="shared" si="231"/>
        <v>1.2803541535379013</v>
      </c>
      <c r="AL360" s="98">
        <f t="shared" si="232"/>
        <v>0.67447662211618209</v>
      </c>
      <c r="AM360" s="98" t="str">
        <f t="shared" si="217"/>
        <v>1+2036.0600199166i</v>
      </c>
      <c r="AN360" s="98">
        <f t="shared" si="233"/>
        <v>2036.0602654889133</v>
      </c>
      <c r="AO360" s="98">
        <f t="shared" si="234"/>
        <v>1.5703051821774441</v>
      </c>
      <c r="AP360" s="168" t="str">
        <f t="shared" si="235"/>
        <v>-15.9957479573933+12.8025497393685i</v>
      </c>
      <c r="AQ360" s="98">
        <f t="shared" si="236"/>
        <v>26.230106033139972</v>
      </c>
      <c r="AR360" s="169">
        <f t="shared" si="237"/>
        <v>141.32719565879205</v>
      </c>
      <c r="AS360" s="168" t="str">
        <f t="shared" si="238"/>
        <v>-0.00617199144712611+0.0891858216105356i</v>
      </c>
      <c r="AT360" s="190">
        <f t="shared" si="239"/>
        <v>-20.973334254845469</v>
      </c>
      <c r="AU360" s="169">
        <f t="shared" si="240"/>
        <v>93.958769938009638</v>
      </c>
      <c r="AV360" s="225"/>
      <c r="AX360">
        <f t="shared" si="241"/>
        <v>0</v>
      </c>
      <c r="AY360">
        <f t="shared" si="242"/>
        <v>0</v>
      </c>
    </row>
    <row r="361" spans="14:51" x14ac:dyDescent="0.2">
      <c r="N361" s="170">
        <v>43</v>
      </c>
      <c r="O361" s="199">
        <f t="shared" si="208"/>
        <v>26915.348039269167</v>
      </c>
      <c r="P361" s="189" t="str">
        <f t="shared" si="209"/>
        <v>771.276595744681</v>
      </c>
      <c r="Q361" s="160" t="str">
        <f t="shared" si="210"/>
        <v>1+172496.40172472i</v>
      </c>
      <c r="R361" s="160">
        <f t="shared" si="218"/>
        <v>172496.40172761862</v>
      </c>
      <c r="S361" s="160">
        <f t="shared" si="219"/>
        <v>1.57079052957252</v>
      </c>
      <c r="T361" s="160" t="str">
        <f t="shared" si="211"/>
        <v>1+0.0405873886411106i</v>
      </c>
      <c r="U361" s="160">
        <f t="shared" si="220"/>
        <v>1.00082332912293</v>
      </c>
      <c r="V361" s="160">
        <f t="shared" si="221"/>
        <v>4.0565123620024547E-2</v>
      </c>
      <c r="W361" s="98" t="str">
        <f t="shared" si="212"/>
        <v>1-0.114997601149813i</v>
      </c>
      <c r="X361" s="160">
        <f t="shared" si="222"/>
        <v>1.0065905067455243</v>
      </c>
      <c r="Y361" s="160">
        <f t="shared" si="223"/>
        <v>-0.11449465922732814</v>
      </c>
      <c r="Z361" s="98" t="str">
        <f t="shared" si="213"/>
        <v>0.710225615970003-0.787366977569975i</v>
      </c>
      <c r="AA361" s="160">
        <f t="shared" si="224"/>
        <v>1.0603618169981639</v>
      </c>
      <c r="AB361" s="160">
        <f t="shared" si="225"/>
        <v>-0.83686292344852131</v>
      </c>
      <c r="AC361" s="171" t="str">
        <f t="shared" si="226"/>
        <v>0.00293558769415004-0.00307050099431793i</v>
      </c>
      <c r="AD361" s="190">
        <f t="shared" si="227"/>
        <v>-47.436274348542312</v>
      </c>
      <c r="AE361" s="169">
        <f t="shared" si="228"/>
        <v>-46.286804670705649</v>
      </c>
      <c r="AF361" s="98" t="str">
        <f t="shared" si="214"/>
        <v>-0.0000119284294234592</v>
      </c>
      <c r="AG361" s="98" t="str">
        <f t="shared" si="215"/>
        <v>0.000947411119355125i</v>
      </c>
      <c r="AH361" s="98">
        <f t="shared" si="229"/>
        <v>9.4741111935512496E-4</v>
      </c>
      <c r="AI361" s="98">
        <f t="shared" si="230"/>
        <v>1.5707963267948966</v>
      </c>
      <c r="AJ361" s="98" t="str">
        <f t="shared" si="216"/>
        <v>1+0.818190905454302i</v>
      </c>
      <c r="AK361" s="98">
        <f t="shared" si="231"/>
        <v>1.2920667002009341</v>
      </c>
      <c r="AL361" s="98">
        <f t="shared" si="232"/>
        <v>0.68573495424823416</v>
      </c>
      <c r="AM361" s="98" t="str">
        <f t="shared" si="217"/>
        <v>1+2083.48595024368i</v>
      </c>
      <c r="AN361" s="98">
        <f t="shared" si="233"/>
        <v>2083.4861902260859</v>
      </c>
      <c r="AO361" s="98">
        <f t="shared" si="234"/>
        <v>1.570316361992113</v>
      </c>
      <c r="AP361" s="168" t="str">
        <f t="shared" si="235"/>
        <v>-15.7070604168354+12.8639645369613i</v>
      </c>
      <c r="AQ361" s="98">
        <f t="shared" si="236"/>
        <v>26.151009604408515</v>
      </c>
      <c r="AR361" s="169">
        <f t="shared" si="237"/>
        <v>140.68278129946535</v>
      </c>
      <c r="AS361" s="168" t="str">
        <f t="shared" si="238"/>
        <v>-0.00661063736932294+0.085991840620391i</v>
      </c>
      <c r="AT361" s="190">
        <f t="shared" si="239"/>
        <v>-21.285264744133798</v>
      </c>
      <c r="AU361" s="169">
        <f t="shared" si="240"/>
        <v>94.395976628759698</v>
      </c>
      <c r="AV361" s="225"/>
      <c r="AX361">
        <f t="shared" si="241"/>
        <v>0</v>
      </c>
      <c r="AY361">
        <f t="shared" si="242"/>
        <v>0</v>
      </c>
    </row>
    <row r="362" spans="14:51" x14ac:dyDescent="0.2">
      <c r="N362" s="170">
        <v>44</v>
      </c>
      <c r="O362" s="199">
        <f t="shared" si="208"/>
        <v>27542.287033381719</v>
      </c>
      <c r="P362" s="189" t="str">
        <f t="shared" si="209"/>
        <v>771.276595744681</v>
      </c>
      <c r="Q362" s="160" t="str">
        <f t="shared" si="210"/>
        <v>1+176514.359078552i</v>
      </c>
      <c r="R362" s="160">
        <f t="shared" si="218"/>
        <v>176514.35908138464</v>
      </c>
      <c r="S362" s="160">
        <f t="shared" si="219"/>
        <v>1.570790661533412</v>
      </c>
      <c r="T362" s="160" t="str">
        <f t="shared" si="211"/>
        <v>1+0.0415327903714241i</v>
      </c>
      <c r="U362" s="160">
        <f t="shared" si="220"/>
        <v>1.0008621147171255</v>
      </c>
      <c r="V362" s="160">
        <f t="shared" si="221"/>
        <v>4.1508934081246639E-2</v>
      </c>
      <c r="W362" s="98" t="str">
        <f t="shared" si="212"/>
        <v>1-0.117676239385701i</v>
      </c>
      <c r="X362" s="160">
        <f t="shared" si="222"/>
        <v>1.0069000433588038</v>
      </c>
      <c r="Y362" s="160">
        <f t="shared" si="223"/>
        <v>-0.11713752666211827</v>
      </c>
      <c r="Z362" s="98" t="str">
        <f t="shared" si="213"/>
        <v>0.696568969988324-0.805707110500634i</v>
      </c>
      <c r="AA362" s="160">
        <f t="shared" si="224"/>
        <v>1.0650691422916521</v>
      </c>
      <c r="AB362" s="160">
        <f t="shared" si="225"/>
        <v>-0.85791928269862161</v>
      </c>
      <c r="AC362" s="171" t="str">
        <f t="shared" si="226"/>
        <v>0.00291438308392787-0.00293251911019891i</v>
      </c>
      <c r="AD362" s="190">
        <f t="shared" si="227"/>
        <v>-47.671741590132662</v>
      </c>
      <c r="AE362" s="169">
        <f t="shared" si="228"/>
        <v>-45.177720508303736</v>
      </c>
      <c r="AF362" s="98" t="str">
        <f t="shared" si="214"/>
        <v>-0.0000119284294234592</v>
      </c>
      <c r="AG362" s="98" t="str">
        <f t="shared" si="215"/>
        <v>0.000969479159244966i</v>
      </c>
      <c r="AH362" s="98">
        <f t="shared" si="229"/>
        <v>9.6947915924496604E-4</v>
      </c>
      <c r="AI362" s="98">
        <f t="shared" si="230"/>
        <v>1.5707963267948966</v>
      </c>
      <c r="AJ362" s="98" t="str">
        <f t="shared" si="216"/>
        <v>1+0.837249019899234i</v>
      </c>
      <c r="AK362" s="98">
        <f t="shared" si="231"/>
        <v>1.3042185098066303</v>
      </c>
      <c r="AL362" s="98">
        <f t="shared" si="232"/>
        <v>0.69704472744593338</v>
      </c>
      <c r="AM362" s="98" t="str">
        <f t="shared" si="217"/>
        <v>1+2132.01657239977i</v>
      </c>
      <c r="AN362" s="98">
        <f t="shared" si="233"/>
        <v>2132.0168069195101</v>
      </c>
      <c r="AO362" s="98">
        <f t="shared" si="234"/>
        <v>1.5703272873232468</v>
      </c>
      <c r="AP362" s="168" t="str">
        <f t="shared" si="235"/>
        <v>-15.4157288457406+12.9191078236498i</v>
      </c>
      <c r="AQ362" s="98">
        <f t="shared" si="236"/>
        <v>26.069701044054533</v>
      </c>
      <c r="AR362" s="169">
        <f t="shared" si="237"/>
        <v>140.03540500335058</v>
      </c>
      <c r="AS362" s="168" t="str">
        <f t="shared" si="238"/>
        <v>-0.00704180879487203+0.0828581487384641i</v>
      </c>
      <c r="AT362" s="190">
        <f t="shared" si="239"/>
        <v>-21.602040546078122</v>
      </c>
      <c r="AU362" s="169">
        <f t="shared" si="240"/>
        <v>94.85768449504684</v>
      </c>
      <c r="AV362" s="225"/>
      <c r="AX362">
        <f t="shared" si="241"/>
        <v>0</v>
      </c>
      <c r="AY362">
        <f t="shared" si="242"/>
        <v>0</v>
      </c>
    </row>
    <row r="363" spans="14:51" x14ac:dyDescent="0.2">
      <c r="N363" s="170">
        <v>45</v>
      </c>
      <c r="O363" s="199">
        <f t="shared" si="208"/>
        <v>28183.829312644593</v>
      </c>
      <c r="P363" s="189" t="str">
        <f t="shared" si="209"/>
        <v>771.276595744681</v>
      </c>
      <c r="Q363" s="160" t="str">
        <f t="shared" si="210"/>
        <v>1+180625.906682011i</v>
      </c>
      <c r="R363" s="160">
        <f t="shared" si="218"/>
        <v>180625.90668477915</v>
      </c>
      <c r="S363" s="160">
        <f t="shared" si="219"/>
        <v>1.5707907904905072</v>
      </c>
      <c r="T363" s="160" t="str">
        <f t="shared" si="211"/>
        <v>1+0.0425002133369438i</v>
      </c>
      <c r="U363" s="160">
        <f t="shared" si="220"/>
        <v>1.0009027266091775</v>
      </c>
      <c r="V363" s="160">
        <f t="shared" si="221"/>
        <v>4.2474652106483643E-2</v>
      </c>
      <c r="W363" s="98" t="str">
        <f t="shared" si="212"/>
        <v>1-0.120417271121341i</v>
      </c>
      <c r="X363" s="160">
        <f t="shared" si="222"/>
        <v>1.0072240660271727</v>
      </c>
      <c r="Y363" s="160">
        <f t="shared" si="223"/>
        <v>-0.11984025340556584</v>
      </c>
      <c r="Z363" s="98" t="str">
        <f t="shared" si="213"/>
        <v>0.682268706110285-0.824474440006074i</v>
      </c>
      <c r="AA363" s="160">
        <f t="shared" si="224"/>
        <v>1.0701629266428228</v>
      </c>
      <c r="AB363" s="160">
        <f t="shared" si="225"/>
        <v>-0.87949896894012847</v>
      </c>
      <c r="AC363" s="171" t="str">
        <f t="shared" si="226"/>
        <v>0.00289156670073609-0.00279633806658099i</v>
      </c>
      <c r="AD363" s="190">
        <f t="shared" si="227"/>
        <v>-47.910036451443645</v>
      </c>
      <c r="AE363" s="169">
        <f t="shared" si="228"/>
        <v>-44.040826220676777</v>
      </c>
      <c r="AF363" s="98" t="str">
        <f t="shared" si="214"/>
        <v>-0.0000119284294234592</v>
      </c>
      <c r="AG363" s="98" t="str">
        <f t="shared" si="215"/>
        <v>0.000992061229817611i</v>
      </c>
      <c r="AH363" s="98">
        <f t="shared" si="229"/>
        <v>9.9206122981761093E-4</v>
      </c>
      <c r="AI363" s="98">
        <f t="shared" si="230"/>
        <v>1.5707963267948966</v>
      </c>
      <c r="AJ363" s="98" t="str">
        <f t="shared" si="216"/>
        <v>1+0.856751054856815i</v>
      </c>
      <c r="AK363" s="98">
        <f t="shared" si="231"/>
        <v>1.3168228316665327</v>
      </c>
      <c r="AL363" s="98">
        <f t="shared" si="232"/>
        <v>0.70840036590256861</v>
      </c>
      <c r="AM363" s="98" t="str">
        <f t="shared" si="217"/>
        <v>1+2181.67761796312i</v>
      </c>
      <c r="AN363" s="98">
        <f t="shared" si="233"/>
        <v>2181.67784714454</v>
      </c>
      <c r="AO363" s="98">
        <f t="shared" si="234"/>
        <v>1.5703379639635899</v>
      </c>
      <c r="AP363" s="168" t="str">
        <f t="shared" si="235"/>
        <v>-15.1220296734418+12.9678387585747i</v>
      </c>
      <c r="AQ363" s="98">
        <f t="shared" si="236"/>
        <v>25.98616123321916</v>
      </c>
      <c r="AR363" s="169">
        <f t="shared" si="237"/>
        <v>139.38538657254017</v>
      </c>
      <c r="AS363" s="168" t="str">
        <f t="shared" si="238"/>
        <v>-0.00746389628938055+0.079783677954622i</v>
      </c>
      <c r="AT363" s="190">
        <f t="shared" si="239"/>
        <v>-21.923875218224488</v>
      </c>
      <c r="AU363" s="169">
        <f t="shared" si="240"/>
        <v>95.344560351863393</v>
      </c>
      <c r="AV363" s="225"/>
      <c r="AX363">
        <f t="shared" si="241"/>
        <v>0</v>
      </c>
      <c r="AY363">
        <f t="shared" si="242"/>
        <v>0</v>
      </c>
    </row>
    <row r="364" spans="14:51" x14ac:dyDescent="0.2">
      <c r="N364" s="170">
        <v>46</v>
      </c>
      <c r="O364" s="199">
        <f t="shared" si="208"/>
        <v>28840.315031266062</v>
      </c>
      <c r="P364" s="189" t="str">
        <f t="shared" si="209"/>
        <v>771.276595744681</v>
      </c>
      <c r="Q364" s="160" t="str">
        <f t="shared" si="210"/>
        <v>1+184833.224532059i</v>
      </c>
      <c r="R364" s="160">
        <f t="shared" si="218"/>
        <v>184833.22453476413</v>
      </c>
      <c r="S364" s="160">
        <f t="shared" si="219"/>
        <v>1.5707909165121807</v>
      </c>
      <c r="T364" s="160" t="str">
        <f t="shared" si="211"/>
        <v>1+0.0434901704781314i</v>
      </c>
      <c r="U364" s="160">
        <f t="shared" si="220"/>
        <v>1.0009452507146517</v>
      </c>
      <c r="V364" s="160">
        <f t="shared" si="221"/>
        <v>4.3462782522993251E-2</v>
      </c>
      <c r="W364" s="98" t="str">
        <f t="shared" si="212"/>
        <v>1-0.123222149688039i</v>
      </c>
      <c r="X364" s="160">
        <f t="shared" si="222"/>
        <v>1.0075632477287673</v>
      </c>
      <c r="Y364" s="160">
        <f t="shared" si="223"/>
        <v>-0.12260411445264595</v>
      </c>
      <c r="Z364" s="98" t="str">
        <f t="shared" si="213"/>
        <v>0.667294491558933-0.84367891677281i</v>
      </c>
      <c r="AA364" s="160">
        <f t="shared" si="224"/>
        <v>1.0756746966773165</v>
      </c>
      <c r="AB364" s="160">
        <f t="shared" si="225"/>
        <v>-0.9016078220971131</v>
      </c>
      <c r="AC364" s="171" t="str">
        <f t="shared" si="226"/>
        <v>0.00286704841806618-0.00266197296828316i</v>
      </c>
      <c r="AD364" s="190">
        <f t="shared" si="227"/>
        <v>-48.151363980188783</v>
      </c>
      <c r="AE364" s="169">
        <f t="shared" si="228"/>
        <v>-42.875831336100866</v>
      </c>
      <c r="AF364" s="98" t="str">
        <f t="shared" si="214"/>
        <v>-0.0000119284294234592</v>
      </c>
      <c r="AG364" s="98" t="str">
        <f t="shared" si="215"/>
        <v>0.00101516930438579i</v>
      </c>
      <c r="AH364" s="98">
        <f t="shared" si="229"/>
        <v>1.01516930438579E-3</v>
      </c>
      <c r="AI364" s="98">
        <f t="shared" si="230"/>
        <v>1.5707963267948966</v>
      </c>
      <c r="AJ364" s="98" t="str">
        <f t="shared" si="216"/>
        <v>1+0.876707350564118i</v>
      </c>
      <c r="AK364" s="98">
        <f t="shared" si="231"/>
        <v>1.3298931455320595</v>
      </c>
      <c r="AL364" s="98">
        <f t="shared" si="232"/>
        <v>0.71979617682802433</v>
      </c>
      <c r="AM364" s="98" t="str">
        <f t="shared" si="217"/>
        <v>1+2232.49541787741i</v>
      </c>
      <c r="AN364" s="98">
        <f t="shared" si="233"/>
        <v>2232.4956418420243</v>
      </c>
      <c r="AO364" s="98">
        <f t="shared" si="234"/>
        <v>1.5703483975740293</v>
      </c>
      <c r="AP364" s="168" t="str">
        <f t="shared" si="235"/>
        <v>-14.8262488957739+13.0100315754745i</v>
      </c>
      <c r="AQ364" s="98">
        <f t="shared" si="236"/>
        <v>25.900373198560874</v>
      </c>
      <c r="AR364" s="169">
        <f t="shared" si="237"/>
        <v>138.73305250422561</v>
      </c>
      <c r="AS364" s="168" t="str">
        <f t="shared" si="238"/>
        <v>-0.00787522107206051+0.0767674642290434i</v>
      </c>
      <c r="AT364" s="190">
        <f t="shared" si="239"/>
        <v>-22.250990781627902</v>
      </c>
      <c r="AU364" s="169">
        <f t="shared" si="240"/>
        <v>95.857221168124724</v>
      </c>
      <c r="AV364" s="225"/>
      <c r="AX364">
        <f t="shared" si="241"/>
        <v>0</v>
      </c>
      <c r="AY364">
        <f t="shared" si="242"/>
        <v>0</v>
      </c>
    </row>
    <row r="365" spans="14:51" x14ac:dyDescent="0.2">
      <c r="N365" s="170">
        <v>47</v>
      </c>
      <c r="O365" s="199">
        <f t="shared" si="208"/>
        <v>29512.092266663854</v>
      </c>
      <c r="P365" s="189" t="str">
        <f t="shared" si="209"/>
        <v>771.276595744681</v>
      </c>
      <c r="Q365" s="160" t="str">
        <f t="shared" si="210"/>
        <v>1+189138.543404312i</v>
      </c>
      <c r="R365" s="160">
        <f t="shared" si="218"/>
        <v>189138.54340695555</v>
      </c>
      <c r="S365" s="160">
        <f t="shared" si="219"/>
        <v>1.5707910396652509</v>
      </c>
      <c r="T365" s="160" t="str">
        <f t="shared" si="211"/>
        <v>1+0.0445031866833674i</v>
      </c>
      <c r="U365" s="160">
        <f t="shared" si="220"/>
        <v>1.000989776983249</v>
      </c>
      <c r="V365" s="160">
        <f t="shared" si="221"/>
        <v>4.4473841527707871E-2</v>
      </c>
      <c r="W365" s="98" t="str">
        <f t="shared" si="212"/>
        <v>1-0.126092362269541i</v>
      </c>
      <c r="X365" s="160">
        <f t="shared" si="222"/>
        <v>1.007918292235394</v>
      </c>
      <c r="Y365" s="160">
        <f t="shared" si="223"/>
        <v>-0.12543040624501239</v>
      </c>
      <c r="Z365" s="98" t="str">
        <f t="shared" si="213"/>
        <v>0.651614564017566-0.863330723268638i</v>
      </c>
      <c r="AA365" s="160">
        <f t="shared" si="224"/>
        <v>1.0816383303948471</v>
      </c>
      <c r="AB365" s="160">
        <f t="shared" si="225"/>
        <v>-0.92425055672405443</v>
      </c>
      <c r="AC365" s="171" t="str">
        <f t="shared" si="226"/>
        <v>0.00284073869099272-0.00252945078265898i</v>
      </c>
      <c r="AD365" s="190">
        <f t="shared" si="227"/>
        <v>-48.395939741953946</v>
      </c>
      <c r="AE365" s="169">
        <f t="shared" si="228"/>
        <v>-41.682510439059882</v>
      </c>
      <c r="AF365" s="98" t="str">
        <f t="shared" si="214"/>
        <v>-0.0000119284294234592</v>
      </c>
      <c r="AG365" s="98" t="str">
        <f t="shared" si="215"/>
        <v>0.0010388156351565i</v>
      </c>
      <c r="AH365" s="98">
        <f t="shared" si="229"/>
        <v>1.0388156351565001E-3</v>
      </c>
      <c r="AI365" s="98">
        <f t="shared" si="230"/>
        <v>1.5707963267948966</v>
      </c>
      <c r="AJ365" s="98" t="str">
        <f t="shared" si="216"/>
        <v>1+0.897128488113293i</v>
      </c>
      <c r="AK365" s="98">
        <f t="shared" si="231"/>
        <v>1.3434431600125265</v>
      </c>
      <c r="AL365" s="98">
        <f t="shared" si="232"/>
        <v>0.73122636402841523</v>
      </c>
      <c r="AM365" s="98" t="str">
        <f t="shared" si="217"/>
        <v>1+2284.49691641286i</v>
      </c>
      <c r="AN365" s="98">
        <f t="shared" si="233"/>
        <v>2284.4971352794178</v>
      </c>
      <c r="AO365" s="98">
        <f t="shared" si="234"/>
        <v>1.5703585936865936</v>
      </c>
      <c r="AP365" s="168" t="str">
        <f t="shared" si="235"/>
        <v>-14.5286810168759+13.0455763552902i</v>
      </c>
      <c r="AQ365" s="98">
        <f t="shared" si="236"/>
        <v>25.812322181234002</v>
      </c>
      <c r="AR365" s="169">
        <f t="shared" si="237"/>
        <v>138.07873521281638</v>
      </c>
      <c r="AS365" s="168" t="str">
        <f t="shared" si="238"/>
        <v>-0.00827404297160454+0.0738086570679121i</v>
      </c>
      <c r="AT365" s="190">
        <f t="shared" si="239"/>
        <v>-22.583617560719944</v>
      </c>
      <c r="AU365" s="169">
        <f t="shared" si="240"/>
        <v>96.396224773756501</v>
      </c>
      <c r="AV365" s="225"/>
      <c r="AX365">
        <f t="shared" si="241"/>
        <v>0</v>
      </c>
      <c r="AY365">
        <f t="shared" si="242"/>
        <v>0</v>
      </c>
    </row>
    <row r="366" spans="14:51" x14ac:dyDescent="0.2">
      <c r="N366" s="170">
        <v>48</v>
      </c>
      <c r="O366" s="199">
        <f t="shared" si="208"/>
        <v>30199.517204020212</v>
      </c>
      <c r="P366" s="189" t="str">
        <f t="shared" si="209"/>
        <v>771.276595744681</v>
      </c>
      <c r="Q366" s="160" t="str">
        <f t="shared" si="210"/>
        <v>1+193544.146035821i</v>
      </c>
      <c r="R366" s="160">
        <f t="shared" si="218"/>
        <v>193544.14603840437</v>
      </c>
      <c r="S366" s="160">
        <f t="shared" si="219"/>
        <v>1.5707911600150148</v>
      </c>
      <c r="T366" s="160" t="str">
        <f t="shared" si="211"/>
        <v>1+0.0455397990672521i</v>
      </c>
      <c r="U366" s="160">
        <f t="shared" si="220"/>
        <v>1.0010363995874905</v>
      </c>
      <c r="V366" s="160">
        <f t="shared" si="221"/>
        <v>4.5508356924424113E-2</v>
      </c>
      <c r="W366" s="98" t="str">
        <f t="shared" si="212"/>
        <v>1-0.129029430690547i</v>
      </c>
      <c r="X366" s="160">
        <f t="shared" si="222"/>
        <v>1.0082899354770565</v>
      </c>
      <c r="Y366" s="160">
        <f t="shared" si="223"/>
        <v>-0.12832044661377909</v>
      </c>
      <c r="Z366" s="98" t="str">
        <f t="shared" si="213"/>
        <v>0.635195664257634-0.883440279141473i</v>
      </c>
      <c r="AA366" s="160">
        <f t="shared" si="224"/>
        <v>1.0880901886798082</v>
      </c>
      <c r="AB366" s="160">
        <f t="shared" si="225"/>
        <v>-0.94743060450362915</v>
      </c>
      <c r="AC366" s="171" t="str">
        <f t="shared" si="226"/>
        <v>0.00281254967343099-0.00239881093099081i</v>
      </c>
      <c r="AD366" s="190">
        <f t="shared" si="227"/>
        <v>-48.643989594272327</v>
      </c>
      <c r="AE366" s="169">
        <f t="shared" si="228"/>
        <v>-40.460712177591788</v>
      </c>
      <c r="AF366" s="98" t="str">
        <f t="shared" si="214"/>
        <v>-0.0000119284294234592</v>
      </c>
      <c r="AG366" s="98" t="str">
        <f t="shared" si="215"/>
        <v>0.00106301275972733i</v>
      </c>
      <c r="AH366" s="98">
        <f t="shared" si="229"/>
        <v>1.06301275972733E-3</v>
      </c>
      <c r="AI366" s="98">
        <f t="shared" si="230"/>
        <v>1.5707963267948966</v>
      </c>
      <c r="AJ366" s="98" t="str">
        <f t="shared" si="216"/>
        <v>1+0.918025295061761i</v>
      </c>
      <c r="AK366" s="98">
        <f t="shared" si="231"/>
        <v>1.357486811123126</v>
      </c>
      <c r="AL366" s="98">
        <f t="shared" si="232"/>
        <v>0.7426850421257748</v>
      </c>
      <c r="AM366" s="98" t="str">
        <f t="shared" si="217"/>
        <v>1+2337.70968545227i</v>
      </c>
      <c r="AN366" s="98">
        <f t="shared" si="233"/>
        <v>2337.7098993368172</v>
      </c>
      <c r="AO366" s="98">
        <f t="shared" si="234"/>
        <v>1.5703685577073887</v>
      </c>
      <c r="AP366" s="168" t="str">
        <f t="shared" si="235"/>
        <v>-14.2296279181445+13.0743797098878i</v>
      </c>
      <c r="AQ366" s="98">
        <f t="shared" si="236"/>
        <v>25.721995697513158</v>
      </c>
      <c r="AR366" s="169">
        <f t="shared" si="237"/>
        <v>137.42277221537717</v>
      </c>
      <c r="AS366" s="168" t="str">
        <f t="shared" si="238"/>
        <v>-0.0086585703902185+0.0709065293773347i</v>
      </c>
      <c r="AT366" s="190">
        <f t="shared" si="239"/>
        <v>-22.921993896759176</v>
      </c>
      <c r="AU366" s="169">
        <f t="shared" si="240"/>
        <v>96.962060037785378</v>
      </c>
      <c r="AV366" s="225"/>
      <c r="AX366">
        <f t="shared" si="241"/>
        <v>0</v>
      </c>
      <c r="AY366">
        <f t="shared" si="242"/>
        <v>0</v>
      </c>
    </row>
    <row r="367" spans="14:51" x14ac:dyDescent="0.2">
      <c r="N367" s="170">
        <v>49</v>
      </c>
      <c r="O367" s="199">
        <f t="shared" si="208"/>
        <v>30902.954325135954</v>
      </c>
      <c r="P367" s="189" t="str">
        <f t="shared" si="209"/>
        <v>771.276595744681</v>
      </c>
      <c r="Q367" s="160" t="str">
        <f t="shared" si="210"/>
        <v>1+198052.368335419i</v>
      </c>
      <c r="R367" s="160">
        <f t="shared" si="218"/>
        <v>198052.36833794357</v>
      </c>
      <c r="S367" s="160">
        <f t="shared" si="219"/>
        <v>1.5707912776252835</v>
      </c>
      <c r="T367" s="160" t="str">
        <f t="shared" si="211"/>
        <v>1+0.0466005572553926i</v>
      </c>
      <c r="U367" s="160">
        <f t="shared" si="220"/>
        <v>1.0010852171201576</v>
      </c>
      <c r="V367" s="160">
        <f t="shared" si="221"/>
        <v>4.6566868364567637E-2</v>
      </c>
      <c r="W367" s="98" t="str">
        <f t="shared" si="212"/>
        <v>1-0.132034912223612i</v>
      </c>
      <c r="X367" s="160">
        <f t="shared" si="222"/>
        <v>1.0086789469627573</v>
      </c>
      <c r="Y367" s="160">
        <f t="shared" si="223"/>
        <v>-0.13127557468509149</v>
      </c>
      <c r="Z367" s="98" t="str">
        <f t="shared" si="213"/>
        <v>0.618002965591424-0.904018246744022i</v>
      </c>
      <c r="AA367" s="160">
        <f t="shared" si="224"/>
        <v>1.0950692470916759</v>
      </c>
      <c r="AB367" s="160">
        <f t="shared" si="225"/>
        <v>-0.97114994938313415</v>
      </c>
      <c r="AC367" s="171" t="str">
        <f t="shared" si="226"/>
        <v>0.00278239649555226-0.00227010578624171i</v>
      </c>
      <c r="AD367" s="190">
        <f t="shared" si="227"/>
        <v>-48.895749306602582</v>
      </c>
      <c r="AE367" s="169">
        <f t="shared" si="228"/>
        <v>-39.210368690073125</v>
      </c>
      <c r="AF367" s="98" t="str">
        <f t="shared" si="214"/>
        <v>-0.0000119284294234592</v>
      </c>
      <c r="AG367" s="98" t="str">
        <f t="shared" si="215"/>
        <v>0.001087773507734i</v>
      </c>
      <c r="AH367" s="98">
        <f t="shared" si="229"/>
        <v>1.087773507734E-3</v>
      </c>
      <c r="AI367" s="98">
        <f t="shared" si="230"/>
        <v>1.5707963267948966</v>
      </c>
      <c r="AJ367" s="98" t="str">
        <f t="shared" si="216"/>
        <v>1+0.93940885117317i</v>
      </c>
      <c r="AK367" s="98">
        <f t="shared" si="231"/>
        <v>1.3720382610053172</v>
      </c>
      <c r="AL367" s="98">
        <f t="shared" si="232"/>
        <v>0.75416625133632309</v>
      </c>
      <c r="AM367" s="98" t="str">
        <f t="shared" si="217"/>
        <v>1+2392.16193911015i</v>
      </c>
      <c r="AN367" s="98">
        <f t="shared" si="233"/>
        <v>2392.1621481260904</v>
      </c>
      <c r="AO367" s="98">
        <f t="shared" si="234"/>
        <v>1.5703782949194618</v>
      </c>
      <c r="AP367" s="168" t="str">
        <f t="shared" si="235"/>
        <v>-13.9293976631581+13.0963653690738i</v>
      </c>
      <c r="AQ367" s="98">
        <f t="shared" si="236"/>
        <v>25.629383590541721</v>
      </c>
      <c r="AR367" s="169">
        <f t="shared" si="237"/>
        <v>136.76550528506181</v>
      </c>
      <c r="AS367" s="168" t="str">
        <f t="shared" si="238"/>
        <v>-0.00902697244005496+0.0680604873413799i</v>
      </c>
      <c r="AT367" s="190">
        <f t="shared" si="239"/>
        <v>-23.266365716060847</v>
      </c>
      <c r="AU367" s="169">
        <f t="shared" si="240"/>
        <v>97.555136594988667</v>
      </c>
      <c r="AV367" s="225"/>
      <c r="AX367">
        <f t="shared" si="241"/>
        <v>0</v>
      </c>
      <c r="AY367">
        <f t="shared" si="242"/>
        <v>0</v>
      </c>
    </row>
    <row r="368" spans="14:51" x14ac:dyDescent="0.2">
      <c r="N368" s="170">
        <v>50</v>
      </c>
      <c r="O368" s="199">
        <f t="shared" si="208"/>
        <v>31622.77660168384</v>
      </c>
      <c r="P368" s="189" t="str">
        <f t="shared" si="209"/>
        <v>771.276595744681</v>
      </c>
      <c r="Q368" s="160" t="str">
        <f t="shared" si="210"/>
        <v>1+202665.60062224i</v>
      </c>
      <c r="R368" s="160">
        <f t="shared" si="218"/>
        <v>202665.60062470712</v>
      </c>
      <c r="S368" s="160">
        <f t="shared" si="219"/>
        <v>1.5707913925584158</v>
      </c>
      <c r="T368" s="160" t="str">
        <f t="shared" si="211"/>
        <v>1+0.0476860236758212i</v>
      </c>
      <c r="U368" s="160">
        <f t="shared" si="220"/>
        <v>1.0011363328008882</v>
      </c>
      <c r="V368" s="160">
        <f t="shared" si="221"/>
        <v>4.7649927591474288E-2</v>
      </c>
      <c r="W368" s="98" t="str">
        <f t="shared" si="212"/>
        <v>1-0.135110400414827i</v>
      </c>
      <c r="X368" s="160">
        <f t="shared" si="222"/>
        <v>1.009086131259495</v>
      </c>
      <c r="Y368" s="160">
        <f t="shared" si="223"/>
        <v>-0.13429715074547219</v>
      </c>
      <c r="Z368" s="98" t="str">
        <f t="shared" si="213"/>
        <v>0.6-0.92507553678709i</v>
      </c>
      <c r="AA368" s="160">
        <f t="shared" si="224"/>
        <v>1.1026172267663528</v>
      </c>
      <c r="AB368" s="160">
        <f t="shared" si="225"/>
        <v>-0.99540895705538901</v>
      </c>
      <c r="AC368" s="171" t="str">
        <f t="shared" si="226"/>
        <v>0.0027501987006657-0.00214340104524539i</v>
      </c>
      <c r="AD368" s="190">
        <f t="shared" si="227"/>
        <v>-49.151464006873738</v>
      </c>
      <c r="AE368" s="169">
        <f t="shared" si="228"/>
        <v>-37.931505353533936</v>
      </c>
      <c r="AF368" s="98" t="str">
        <f t="shared" si="214"/>
        <v>-0.0000119284294234592</v>
      </c>
      <c r="AG368" s="98" t="str">
        <f t="shared" si="215"/>
        <v>0.00111311100765286i</v>
      </c>
      <c r="AH368" s="98">
        <f t="shared" si="229"/>
        <v>1.1131110076528601E-3</v>
      </c>
      <c r="AI368" s="98">
        <f t="shared" si="230"/>
        <v>1.5707963267948966</v>
      </c>
      <c r="AJ368" s="98" t="str">
        <f t="shared" si="216"/>
        <v>1+0.961290494292018i</v>
      </c>
      <c r="AK368" s="98">
        <f t="shared" si="231"/>
        <v>1.3871118968620348</v>
      </c>
      <c r="AL368" s="98">
        <f t="shared" si="232"/>
        <v>0.76566397271923836</v>
      </c>
      <c r="AM368" s="98" t="str">
        <f t="shared" si="217"/>
        <v>1+2447.88254869216i</v>
      </c>
      <c r="AN368" s="98">
        <f t="shared" si="233"/>
        <v>2447.8827529503178</v>
      </c>
      <c r="AO368" s="98">
        <f t="shared" si="234"/>
        <v>1.5703878104856048</v>
      </c>
      <c r="AP368" s="168" t="str">
        <f t="shared" si="235"/>
        <v>-13.6283032483262+13.1114746640872i</v>
      </c>
      <c r="AQ368" s="98">
        <f t="shared" si="236"/>
        <v>25.534478072750414</v>
      </c>
      <c r="AR368" s="169">
        <f t="shared" si="237"/>
        <v>136.10727957758334</v>
      </c>
      <c r="AS368" s="168" t="str">
        <f t="shared" si="238"/>
        <v>-0.0093773933861119+0.0652700800123674i</v>
      </c>
      <c r="AT368" s="190">
        <f t="shared" si="239"/>
        <v>-23.616985934123328</v>
      </c>
      <c r="AU368" s="169">
        <f t="shared" si="240"/>
        <v>98.175774224049391</v>
      </c>
      <c r="AV368" s="225"/>
      <c r="AX368">
        <f t="shared" si="241"/>
        <v>0</v>
      </c>
      <c r="AY368">
        <f t="shared" si="242"/>
        <v>0</v>
      </c>
    </row>
    <row r="369" spans="14:51" x14ac:dyDescent="0.2">
      <c r="N369" s="170">
        <v>51</v>
      </c>
      <c r="O369" s="199">
        <f t="shared" si="208"/>
        <v>32359.365692962871</v>
      </c>
      <c r="P369" s="189" t="str">
        <f t="shared" si="209"/>
        <v>771.276595744681</v>
      </c>
      <c r="Q369" s="160" t="str">
        <f t="shared" si="210"/>
        <v>1+207386.288893109i</v>
      </c>
      <c r="R369" s="160">
        <f t="shared" si="218"/>
        <v>207386.28889551995</v>
      </c>
      <c r="S369" s="160">
        <f t="shared" si="219"/>
        <v>1.5707915048753507</v>
      </c>
      <c r="T369" s="160" t="str">
        <f t="shared" si="211"/>
        <v>1+0.048796773857202i</v>
      </c>
      <c r="U369" s="160">
        <f t="shared" si="220"/>
        <v>1.001189854692341</v>
      </c>
      <c r="V369" s="160">
        <f t="shared" si="221"/>
        <v>4.8758098688125348E-2</v>
      </c>
      <c r="W369" s="98" t="str">
        <f t="shared" si="212"/>
        <v>1-0.138257525928739i</v>
      </c>
      <c r="X369" s="160">
        <f t="shared" si="222"/>
        <v>1.009512329531411</v>
      </c>
      <c r="Y369" s="160">
        <f t="shared" si="223"/>
        <v>-0.13738655606380978</v>
      </c>
      <c r="Z369" s="98" t="str">
        <f t="shared" si="213"/>
        <v>0.58114858077964-0.946623314124585i</v>
      </c>
      <c r="AA369" s="160">
        <f t="shared" si="224"/>
        <v>1.110778723142644</v>
      </c>
      <c r="AB369" s="160">
        <f t="shared" si="225"/>
        <v>-1.0202062009685953</v>
      </c>
      <c r="AC369" s="171" t="str">
        <f t="shared" si="226"/>
        <v>0.00271588183521756-0.00201877594056635i</v>
      </c>
      <c r="AD369" s="190">
        <f t="shared" si="227"/>
        <v>-49.411387435911379</v>
      </c>
      <c r="AE369" s="169">
        <f t="shared" si="228"/>
        <v>-36.624250728166878</v>
      </c>
      <c r="AF369" s="98" t="str">
        <f t="shared" si="214"/>
        <v>-0.0000119284294234592</v>
      </c>
      <c r="AG369" s="98" t="str">
        <f t="shared" si="215"/>
        <v>0.00113903869376174i</v>
      </c>
      <c r="AH369" s="98">
        <f t="shared" si="229"/>
        <v>1.1390386937617401E-3</v>
      </c>
      <c r="AI369" s="98">
        <f t="shared" si="230"/>
        <v>1.5707963267948966</v>
      </c>
      <c r="AJ369" s="98" t="str">
        <f t="shared" si="216"/>
        <v>1+0.983681826355123i</v>
      </c>
      <c r="AK369" s="98">
        <f t="shared" si="231"/>
        <v>1.4027223301499661</v>
      </c>
      <c r="AL369" s="98">
        <f t="shared" si="232"/>
        <v>0.77717214380248778</v>
      </c>
      <c r="AM369" s="98" t="str">
        <f t="shared" si="217"/>
        <v>1+2504.90105800303i</v>
      </c>
      <c r="AN369" s="98">
        <f t="shared" si="233"/>
        <v>2504.9012576117043</v>
      </c>
      <c r="AO369" s="98">
        <f t="shared" si="234"/>
        <v>1.5703971094510896</v>
      </c>
      <c r="AP369" s="168" t="str">
        <f t="shared" si="235"/>
        <v>-13.3266613098384+13.1196669018935i</v>
      </c>
      <c r="AQ369" s="98">
        <f t="shared" si="236"/>
        <v>25.437273758574275</v>
      </c>
      <c r="AR369" s="169">
        <f t="shared" si="237"/>
        <v>135.44844273607455</v>
      </c>
      <c r="AS369" s="168" t="str">
        <f t="shared" si="238"/>
        <v>-0.0097079694856995+0.0625350082433358i</v>
      </c>
      <c r="AT369" s="190">
        <f t="shared" si="239"/>
        <v>-23.974113677337105</v>
      </c>
      <c r="AU369" s="169">
        <f t="shared" si="240"/>
        <v>98.824192007907683</v>
      </c>
      <c r="AV369" s="225"/>
      <c r="AX369">
        <f t="shared" si="241"/>
        <v>0</v>
      </c>
      <c r="AY369">
        <f t="shared" si="242"/>
        <v>0</v>
      </c>
    </row>
    <row r="370" spans="14:51" x14ac:dyDescent="0.2">
      <c r="N370" s="170">
        <v>52</v>
      </c>
      <c r="O370" s="199">
        <f t="shared" si="208"/>
        <v>33113.11214825909</v>
      </c>
      <c r="P370" s="189" t="str">
        <f t="shared" si="209"/>
        <v>771.276595744681</v>
      </c>
      <c r="Q370" s="160" t="str">
        <f t="shared" si="210"/>
        <v>1+212216.93611943i</v>
      </c>
      <c r="R370" s="160">
        <f t="shared" si="218"/>
        <v>212216.93612178607</v>
      </c>
      <c r="S370" s="160">
        <f t="shared" si="219"/>
        <v>1.5707916146356398</v>
      </c>
      <c r="T370" s="160" t="str">
        <f t="shared" si="211"/>
        <v>1+0.0499333967339834i</v>
      </c>
      <c r="U370" s="160">
        <f t="shared" si="220"/>
        <v>1.001245895926367</v>
      </c>
      <c r="V370" s="160">
        <f t="shared" si="221"/>
        <v>4.9891958328260988E-2</v>
      </c>
      <c r="W370" s="98" t="str">
        <f t="shared" si="212"/>
        <v>1-0.141477957412953i</v>
      </c>
      <c r="X370" s="160">
        <f t="shared" si="222"/>
        <v>1.0099584211410593</v>
      </c>
      <c r="Y370" s="160">
        <f t="shared" si="223"/>
        <v>-0.14054519266665957</v>
      </c>
      <c r="Z370" s="98" t="str">
        <f t="shared" si="213"/>
        <v>0.561408721542727-0.96867300367327i</v>
      </c>
      <c r="AA370" s="160">
        <f t="shared" si="224"/>
        <v>1.1196013311306994</v>
      </c>
      <c r="AB370" s="160">
        <f t="shared" si="225"/>
        <v>-1.0455382875584744</v>
      </c>
      <c r="AC370" s="171" t="str">
        <f t="shared" si="226"/>
        <v>0.00267937917875256-0.00189632325526873i</v>
      </c>
      <c r="AD370" s="190">
        <f t="shared" si="227"/>
        <v>-49.675780992503569</v>
      </c>
      <c r="AE370" s="169">
        <f t="shared" si="228"/>
        <v>-35.288846543526908</v>
      </c>
      <c r="AF370" s="98" t="str">
        <f t="shared" si="214"/>
        <v>-0.0000119284294234592</v>
      </c>
      <c r="AG370" s="98" t="str">
        <f t="shared" si="215"/>
        <v>0.00116557031326301i</v>
      </c>
      <c r="AH370" s="98">
        <f t="shared" si="229"/>
        <v>1.16557031326301E-3</v>
      </c>
      <c r="AI370" s="98">
        <f t="shared" si="230"/>
        <v>1.5707963267948966</v>
      </c>
      <c r="AJ370" s="98" t="str">
        <f t="shared" si="216"/>
        <v>1+1.00659471954313i</v>
      </c>
      <c r="AK370" s="98">
        <f t="shared" si="231"/>
        <v>1.4188843960704172</v>
      </c>
      <c r="AL370" s="98">
        <f t="shared" si="232"/>
        <v>0.7886846744877819</v>
      </c>
      <c r="AM370" s="98" t="str">
        <f t="shared" si="217"/>
        <v>1+2563.24769901115i</v>
      </c>
      <c r="AN370" s="98">
        <f t="shared" si="233"/>
        <v>2563.2478940761766</v>
      </c>
      <c r="AO370" s="98">
        <f t="shared" si="234"/>
        <v>1.5704061967463445</v>
      </c>
      <c r="AP370" s="168" t="str">
        <f t="shared" si="235"/>
        <v>-13.0247907981431+13.1209196258403i</v>
      </c>
      <c r="AQ370" s="98">
        <f t="shared" si="236"/>
        <v>25.337767687175749</v>
      </c>
      <c r="AR370" s="169">
        <f t="shared" si="237"/>
        <v>134.78934397995761</v>
      </c>
      <c r="AS370" s="168" t="str">
        <f t="shared" si="238"/>
        <v>-0.0100168482551597+0.0598551325370913i</v>
      </c>
      <c r="AT370" s="190">
        <f t="shared" si="239"/>
        <v>-24.338013305327813</v>
      </c>
      <c r="AU370" s="169">
        <f t="shared" si="240"/>
        <v>99.500497436430678</v>
      </c>
      <c r="AV370" s="225"/>
      <c r="AX370">
        <f t="shared" si="241"/>
        <v>0</v>
      </c>
      <c r="AY370">
        <f t="shared" si="242"/>
        <v>0</v>
      </c>
    </row>
    <row r="371" spans="14:51" x14ac:dyDescent="0.2">
      <c r="N371" s="170">
        <v>53</v>
      </c>
      <c r="O371" s="199">
        <f t="shared" si="208"/>
        <v>33884.41561392029</v>
      </c>
      <c r="P371" s="189" t="str">
        <f t="shared" si="209"/>
        <v>771.276595744681</v>
      </c>
      <c r="Q371" s="160" t="str">
        <f t="shared" si="210"/>
        <v>1+217160.103574306i</v>
      </c>
      <c r="R371" s="160">
        <f t="shared" si="218"/>
        <v>217160.10357660844</v>
      </c>
      <c r="S371" s="160">
        <f t="shared" si="219"/>
        <v>1.5707917218974798</v>
      </c>
      <c r="T371" s="160" t="str">
        <f t="shared" si="211"/>
        <v>1+0.0510964949586602i</v>
      </c>
      <c r="U371" s="160">
        <f t="shared" si="220"/>
        <v>1.0013045749406424</v>
      </c>
      <c r="V371" s="160">
        <f t="shared" si="221"/>
        <v>5.1052096030785157E-2</v>
      </c>
      <c r="W371" s="98" t="str">
        <f t="shared" si="212"/>
        <v>1-0.14477340238287i</v>
      </c>
      <c r="X371" s="160">
        <f t="shared" si="222"/>
        <v>1.0104253253147966</v>
      </c>
      <c r="Y371" s="160">
        <f t="shared" si="223"/>
        <v>-0.14377448306334378</v>
      </c>
      <c r="Z371" s="98" t="str">
        <f t="shared" si="213"/>
        <v>0.540738551401243-0.991236296470411i</v>
      </c>
      <c r="AA371" s="160">
        <f t="shared" si="224"/>
        <v>1.12913576527001</v>
      </c>
      <c r="AB371" s="160">
        <f t="shared" si="225"/>
        <v>-1.0713996839199298</v>
      </c>
      <c r="AC371" s="171" t="str">
        <f t="shared" si="226"/>
        <v>0.0026406335927985-0.00177614910304662i</v>
      </c>
      <c r="AD371" s="190">
        <f t="shared" si="227"/>
        <v>-49.944912554241824</v>
      </c>
      <c r="AE371" s="169">
        <f t="shared" si="228"/>
        <v>-33.925657541894857</v>
      </c>
      <c r="AF371" s="98" t="str">
        <f t="shared" si="214"/>
        <v>-0.0000119284294234592</v>
      </c>
      <c r="AG371" s="98" t="str">
        <f t="shared" si="215"/>
        <v>0.00119271993357252i</v>
      </c>
      <c r="AH371" s="98">
        <f t="shared" si="229"/>
        <v>1.1927199335725199E-3</v>
      </c>
      <c r="AI371" s="98">
        <f t="shared" si="230"/>
        <v>1.5707963267948966</v>
      </c>
      <c r="AJ371" s="98" t="str">
        <f t="shared" si="216"/>
        <v>1+1.0300413225753i</v>
      </c>
      <c r="AK371" s="98">
        <f t="shared" si="231"/>
        <v>1.4356131533991578</v>
      </c>
      <c r="AL371" s="98">
        <f t="shared" si="232"/>
        <v>0.80019546313339285</v>
      </c>
      <c r="AM371" s="98" t="str">
        <f t="shared" si="217"/>
        <v>1+2622.95340787789i</v>
      </c>
      <c r="AN371" s="98">
        <f t="shared" si="233"/>
        <v>2622.9535985026955</v>
      </c>
      <c r="AO371" s="98">
        <f t="shared" si="234"/>
        <v>1.5704150771895677</v>
      </c>
      <c r="AP371" s="168" t="str">
        <f t="shared" si="235"/>
        <v>-12.7230116316812+13.1152287595678i</v>
      </c>
      <c r="AQ371" s="98">
        <f t="shared" si="236"/>
        <v>25.235959334971227</v>
      </c>
      <c r="AR371" s="169">
        <f t="shared" si="237"/>
        <v>134.1303331836138</v>
      </c>
      <c r="AS371" s="168" t="str">
        <f t="shared" si="238"/>
        <v>-0.0103022101186258+0.057230479337414i</v>
      </c>
      <c r="AT371" s="190">
        <f t="shared" si="239"/>
        <v>-24.708953219270601</v>
      </c>
      <c r="AU371" s="169">
        <f t="shared" si="240"/>
        <v>100.20467564171889</v>
      </c>
      <c r="AV371" s="225"/>
      <c r="AX371">
        <f t="shared" si="241"/>
        <v>0</v>
      </c>
      <c r="AY371">
        <f t="shared" si="242"/>
        <v>0</v>
      </c>
    </row>
    <row r="372" spans="14:51" x14ac:dyDescent="0.2">
      <c r="N372" s="170">
        <v>54</v>
      </c>
      <c r="O372" s="199">
        <f t="shared" si="208"/>
        <v>34673.685045253202</v>
      </c>
      <c r="P372" s="189" t="str">
        <f t="shared" si="209"/>
        <v>771.276595744681</v>
      </c>
      <c r="Q372" s="160" t="str">
        <f t="shared" si="210"/>
        <v>1+222218.412190549i</v>
      </c>
      <c r="R372" s="160">
        <f t="shared" si="218"/>
        <v>222218.41219279901</v>
      </c>
      <c r="S372" s="160">
        <f t="shared" si="219"/>
        <v>1.5707918267177421</v>
      </c>
      <c r="T372" s="160" t="str">
        <f t="shared" si="211"/>
        <v>1+0.0522866852213056i</v>
      </c>
      <c r="U372" s="160">
        <f t="shared" si="220"/>
        <v>1.0013660157262338</v>
      </c>
      <c r="V372" s="160">
        <f t="shared" si="221"/>
        <v>5.2239114417355161E-2</v>
      </c>
      <c r="W372" s="98" t="str">
        <f t="shared" si="212"/>
        <v>1-0.148145608127033i</v>
      </c>
      <c r="X372" s="160">
        <f t="shared" si="222"/>
        <v>1.0109140028742942</v>
      </c>
      <c r="Y372" s="160">
        <f t="shared" si="223"/>
        <v>-0.14707586991716121</v>
      </c>
      <c r="Z372" s="98" t="str">
        <f t="shared" si="213"/>
        <v>0.519094226153035-1.0143251558725i</v>
      </c>
      <c r="AA372" s="160">
        <f t="shared" si="224"/>
        <v>1.1394359733926209</v>
      </c>
      <c r="AB372" s="160">
        <f t="shared" si="225"/>
        <v>-1.097782551653244</v>
      </c>
      <c r="AC372" s="171" t="str">
        <f t="shared" si="226"/>
        <v>0.0025995994588457-0.00165837243697071i</v>
      </c>
      <c r="AD372" s="190">
        <f t="shared" si="227"/>
        <v>-50.219055062690813</v>
      </c>
      <c r="AE372" s="169">
        <f t="shared" si="228"/>
        <v>-32.535180964591412</v>
      </c>
      <c r="AF372" s="98" t="str">
        <f t="shared" si="214"/>
        <v>-0.0000119284294234592</v>
      </c>
      <c r="AG372" s="98" t="str">
        <f t="shared" si="215"/>
        <v>0.00122050194977833i</v>
      </c>
      <c r="AH372" s="98">
        <f t="shared" si="229"/>
        <v>1.2205019497783299E-3</v>
      </c>
      <c r="AI372" s="98">
        <f t="shared" si="230"/>
        <v>1.5707963267948966</v>
      </c>
      <c r="AJ372" s="98" t="str">
        <f t="shared" si="216"/>
        <v>1+1.0540340671509i</v>
      </c>
      <c r="AK372" s="98">
        <f t="shared" si="231"/>
        <v>1.4529238846941253</v>
      </c>
      <c r="AL372" s="98">
        <f t="shared" si="232"/>
        <v>0.81169841271144916</v>
      </c>
      <c r="AM372" s="98" t="str">
        <f t="shared" si="217"/>
        <v>1+2684.04984136036i</v>
      </c>
      <c r="AN372" s="98">
        <f t="shared" si="233"/>
        <v>2684.0500276460148</v>
      </c>
      <c r="AO372" s="98">
        <f t="shared" si="234"/>
        <v>1.5704237554892821</v>
      </c>
      <c r="AP372" s="168" t="str">
        <f t="shared" si="235"/>
        <v>-12.4216433419204+13.1026086324459i</v>
      </c>
      <c r="AQ372" s="98">
        <f t="shared" si="236"/>
        <v>25.131850617847888</v>
      </c>
      <c r="AR372" s="169">
        <f t="shared" si="237"/>
        <v>133.47175995078626</v>
      </c>
      <c r="AS372" s="168" t="str">
        <f t="shared" si="238"/>
        <v>-0.0105622923011678+0.0546612452504949i</v>
      </c>
      <c r="AT372" s="190">
        <f t="shared" si="239"/>
        <v>-25.087204444842925</v>
      </c>
      <c r="AU372" s="169">
        <f t="shared" si="240"/>
        <v>100.93657898619487</v>
      </c>
      <c r="AV372" s="225"/>
      <c r="AX372">
        <f t="shared" si="241"/>
        <v>0</v>
      </c>
      <c r="AY372">
        <f t="shared" si="242"/>
        <v>0</v>
      </c>
    </row>
    <row r="373" spans="14:51" x14ac:dyDescent="0.2">
      <c r="N373" s="170">
        <v>55</v>
      </c>
      <c r="O373" s="199">
        <f t="shared" si="208"/>
        <v>35481.33892335758</v>
      </c>
      <c r="P373" s="189" t="str">
        <f t="shared" si="209"/>
        <v>771.276595744681</v>
      </c>
      <c r="Q373" s="160" t="str">
        <f t="shared" si="210"/>
        <v>1+227394.543950346i</v>
      </c>
      <c r="R373" s="160">
        <f t="shared" si="218"/>
        <v>227394.54395254483</v>
      </c>
      <c r="S373" s="160">
        <f t="shared" si="219"/>
        <v>1.5707919291520041</v>
      </c>
      <c r="T373" s="160" t="str">
        <f t="shared" si="211"/>
        <v>1+0.053504598576552i</v>
      </c>
      <c r="U373" s="160">
        <f t="shared" si="220"/>
        <v>1.0014303480865947</v>
      </c>
      <c r="V373" s="160">
        <f t="shared" si="221"/>
        <v>5.3453629473048714E-2</v>
      </c>
      <c r="W373" s="98" t="str">
        <f t="shared" si="212"/>
        <v>1-0.151596362633564i</v>
      </c>
      <c r="X373" s="160">
        <f t="shared" si="222"/>
        <v>1.011425458036195</v>
      </c>
      <c r="Y373" s="160">
        <f t="shared" si="223"/>
        <v>-0.15045081565882573</v>
      </c>
      <c r="Z373" s="98" t="str">
        <f t="shared" si="213"/>
        <v>0.496429835282329-1.03795182389841i</v>
      </c>
      <c r="AA373" s="160">
        <f t="shared" si="224"/>
        <v>1.1505592423219571</v>
      </c>
      <c r="AB373" s="160">
        <f t="shared" si="225"/>
        <v>-1.1246765911057359</v>
      </c>
      <c r="AC373" s="171" t="str">
        <f t="shared" si="226"/>
        <v>0.00255624466618286-0.00154312425286982i</v>
      </c>
      <c r="AD373" s="190">
        <f t="shared" si="227"/>
        <v>-50.498484865996325</v>
      </c>
      <c r="AE373" s="169">
        <f t="shared" si="228"/>
        <v>-31.11805543919284</v>
      </c>
      <c r="AF373" s="98" t="str">
        <f t="shared" si="214"/>
        <v>-0.0000119284294234592</v>
      </c>
      <c r="AG373" s="98" t="str">
        <f t="shared" si="215"/>
        <v>0.00124893109227316i</v>
      </c>
      <c r="AH373" s="98">
        <f t="shared" si="229"/>
        <v>1.24893109227316E-3</v>
      </c>
      <c r="AI373" s="98">
        <f t="shared" si="230"/>
        <v>1.5707963267948966</v>
      </c>
      <c r="AJ373" s="98" t="str">
        <f t="shared" si="216"/>
        <v>1+1.0785856745407i</v>
      </c>
      <c r="AK373" s="98">
        <f t="shared" si="231"/>
        <v>1.4708320969180735</v>
      </c>
      <c r="AL373" s="98">
        <f t="shared" si="232"/>
        <v>0.82318744693547741</v>
      </c>
      <c r="AM373" s="98" t="str">
        <f t="shared" si="217"/>
        <v>1+2746.56939359633i</v>
      </c>
      <c r="AN373" s="98">
        <f t="shared" si="233"/>
        <v>2746.5695756416062</v>
      </c>
      <c r="AO373" s="98">
        <f t="shared" si="234"/>
        <v>1.5704322362468317</v>
      </c>
      <c r="AP373" s="168" t="str">
        <f t="shared" si="235"/>
        <v>-12.1210037218699+13.0830918862361i</v>
      </c>
      <c r="AQ373" s="98">
        <f t="shared" si="236"/>
        <v>25.025445883052633</v>
      </c>
      <c r="AR373" s="169">
        <f t="shared" si="237"/>
        <v>132.81397269068282</v>
      </c>
      <c r="AS373" s="168" t="str">
        <f t="shared" si="238"/>
        <v>-0.0107954147206372+0.0521477986637141i</v>
      </c>
      <c r="AT373" s="190">
        <f t="shared" si="239"/>
        <v>-25.473038982943685</v>
      </c>
      <c r="AU373" s="169">
        <f t="shared" si="240"/>
        <v>101.69591725148993</v>
      </c>
      <c r="AV373" s="225"/>
      <c r="AX373">
        <f t="shared" si="241"/>
        <v>0</v>
      </c>
      <c r="AY373">
        <f t="shared" si="242"/>
        <v>0</v>
      </c>
    </row>
    <row r="374" spans="14:51" x14ac:dyDescent="0.2">
      <c r="N374" s="170">
        <v>56</v>
      </c>
      <c r="O374" s="199">
        <f t="shared" si="208"/>
        <v>36307.805477010232</v>
      </c>
      <c r="P374" s="189" t="str">
        <f t="shared" si="209"/>
        <v>771.276595744681</v>
      </c>
      <c r="Q374" s="160" t="str">
        <f t="shared" si="210"/>
        <v>1+232691.243307267i</v>
      </c>
      <c r="R374" s="160">
        <f t="shared" si="218"/>
        <v>232691.24330941576</v>
      </c>
      <c r="S374" s="160">
        <f t="shared" si="219"/>
        <v>1.5707920292545776</v>
      </c>
      <c r="T374" s="160" t="str">
        <f t="shared" si="211"/>
        <v>1+0.0547508807781804i</v>
      </c>
      <c r="U374" s="160">
        <f t="shared" si="220"/>
        <v>1.0014977079085037</v>
      </c>
      <c r="V374" s="160">
        <f t="shared" si="221"/>
        <v>5.4696270809963025E-2</v>
      </c>
      <c r="W374" s="98" t="str">
        <f t="shared" si="212"/>
        <v>1-0.155127495538178i</v>
      </c>
      <c r="X374" s="160">
        <f t="shared" si="222"/>
        <v>1.011960740281928</v>
      </c>
      <c r="Y374" s="160">
        <f t="shared" si="223"/>
        <v>-0.15390080203805126</v>
      </c>
      <c r="Z374" s="98" t="str">
        <f t="shared" si="213"/>
        <v>0.472697304577434-1.06212882772027i</v>
      </c>
      <c r="AA374" s="160">
        <f t="shared" si="224"/>
        <v>1.1625662942082944</v>
      </c>
      <c r="AB374" s="160">
        <f t="shared" si="225"/>
        <v>-1.1520689006519222</v>
      </c>
      <c r="AC374" s="171" t="str">
        <f t="shared" si="226"/>
        <v>0.00251055260074484-0.00143054645843117i</v>
      </c>
      <c r="AD374" s="190">
        <f t="shared" si="227"/>
        <v>-50.783479817757581</v>
      </c>
      <c r="AE374" s="169">
        <f t="shared" si="228"/>
        <v>-29.675069001388973</v>
      </c>
      <c r="AF374" s="98" t="str">
        <f t="shared" si="214"/>
        <v>-0.0000119284294234592</v>
      </c>
      <c r="AG374" s="98" t="str">
        <f t="shared" si="215"/>
        <v>0.00127802243456468i</v>
      </c>
      <c r="AH374" s="98">
        <f t="shared" si="229"/>
        <v>1.27802243456468E-3</v>
      </c>
      <c r="AI374" s="98">
        <f t="shared" si="230"/>
        <v>1.5707963267948966</v>
      </c>
      <c r="AJ374" s="98" t="str">
        <f t="shared" si="216"/>
        <v>1+1.10370916233191i</v>
      </c>
      <c r="AK374" s="98">
        <f t="shared" si="231"/>
        <v>1.4893535225108263</v>
      </c>
      <c r="AL374" s="98">
        <f t="shared" si="232"/>
        <v>0.83465652625420195</v>
      </c>
      <c r="AM374" s="98" t="str">
        <f t="shared" si="217"/>
        <v>1+2810.54521327993i</v>
      </c>
      <c r="AN374" s="98">
        <f t="shared" si="233"/>
        <v>2810.5453911813497</v>
      </c>
      <c r="AO374" s="98">
        <f t="shared" si="234"/>
        <v>1.5704405239588217</v>
      </c>
      <c r="AP374" s="168" t="str">
        <f t="shared" si="235"/>
        <v>-11.8214074901983+13.0567292640919i</v>
      </c>
      <c r="AQ374" s="98">
        <f t="shared" si="236"/>
        <v>24.916751890823562</v>
      </c>
      <c r="AR374" s="169">
        <f t="shared" si="237"/>
        <v>132.15731770173832</v>
      </c>
      <c r="AS374" s="168" t="str">
        <f t="shared" si="238"/>
        <v>-0.0110000075115406+0.0496906782299621i</v>
      </c>
      <c r="AT374" s="190">
        <f t="shared" si="239"/>
        <v>-25.866727926934022</v>
      </c>
      <c r="AU374" s="169">
        <f t="shared" si="240"/>
        <v>102.48224870034936</v>
      </c>
      <c r="AV374" s="225"/>
      <c r="AX374">
        <f t="shared" si="241"/>
        <v>0</v>
      </c>
      <c r="AY374">
        <f t="shared" si="242"/>
        <v>0</v>
      </c>
    </row>
    <row r="375" spans="14:51" x14ac:dyDescent="0.2">
      <c r="N375" s="170">
        <v>57</v>
      </c>
      <c r="O375" s="199">
        <f t="shared" si="208"/>
        <v>37153.522909717351</v>
      </c>
      <c r="P375" s="189" t="str">
        <f t="shared" si="209"/>
        <v>771.276595744681</v>
      </c>
      <c r="Q375" s="160" t="str">
        <f t="shared" si="210"/>
        <v>1+238111.318641422i</v>
      </c>
      <c r="R375" s="160">
        <f t="shared" si="218"/>
        <v>238111.31864352184</v>
      </c>
      <c r="S375" s="160">
        <f t="shared" si="219"/>
        <v>1.5707921270785383</v>
      </c>
      <c r="T375" s="160" t="str">
        <f t="shared" si="211"/>
        <v>1+0.056026192621511i</v>
      </c>
      <c r="U375" s="160">
        <f t="shared" si="220"/>
        <v>1.0015682374454886</v>
      </c>
      <c r="V375" s="160">
        <f t="shared" si="221"/>
        <v>5.5967681933611811E-2</v>
      </c>
      <c r="W375" s="98" t="str">
        <f t="shared" si="212"/>
        <v>1-0.158740879094281i</v>
      </c>
      <c r="X375" s="160">
        <f t="shared" si="222"/>
        <v>1.0125209462996927</v>
      </c>
      <c r="Y375" s="160">
        <f t="shared" si="223"/>
        <v>-0.15742732960901287</v>
      </c>
      <c r="Z375" s="98" t="str">
        <f t="shared" si="213"/>
        <v>0.447846294158843-1.08686898630553i</v>
      </c>
      <c r="AA375" s="160">
        <f t="shared" si="224"/>
        <v>1.1755213722364302</v>
      </c>
      <c r="AB375" s="160">
        <f t="shared" si="225"/>
        <v>-1.1799438559797673</v>
      </c>
      <c r="AC375" s="171" t="str">
        <f t="shared" si="226"/>
        <v>0.00246252407687318-0.00132079038672153i</v>
      </c>
      <c r="AD375" s="190">
        <f t="shared" si="227"/>
        <v>-51.074317137861158</v>
      </c>
      <c r="AE375" s="169">
        <f t="shared" si="228"/>
        <v>-28.207165966629383</v>
      </c>
      <c r="AF375" s="98" t="str">
        <f t="shared" si="214"/>
        <v>-0.0000119284294234592</v>
      </c>
      <c r="AG375" s="98" t="str">
        <f t="shared" si="215"/>
        <v>0.00130779140126762i</v>
      </c>
      <c r="AH375" s="98">
        <f t="shared" si="229"/>
        <v>1.30779140126762E-3</v>
      </c>
      <c r="AI375" s="98">
        <f t="shared" si="230"/>
        <v>1.5707963267948966</v>
      </c>
      <c r="AJ375" s="98" t="str">
        <f t="shared" si="216"/>
        <v>1+1.12941785133031i</v>
      </c>
      <c r="AK375" s="98">
        <f t="shared" si="231"/>
        <v>1.5085041209435175</v>
      </c>
      <c r="AL375" s="98">
        <f t="shared" si="232"/>
        <v>0.84609966360936972</v>
      </c>
      <c r="AM375" s="98" t="str">
        <f t="shared" si="217"/>
        <v>1+2876.01122123757i</v>
      </c>
      <c r="AN375" s="98">
        <f t="shared" si="233"/>
        <v>2876.0113950894597</v>
      </c>
      <c r="AO375" s="98">
        <f t="shared" si="234"/>
        <v>1.5704486230195023</v>
      </c>
      <c r="AP375" s="168" t="str">
        <f t="shared" si="235"/>
        <v>-11.5231649828418+13.0235892844235i</v>
      </c>
      <c r="AQ375" s="98">
        <f t="shared" si="236"/>
        <v>24.805777785930722</v>
      </c>
      <c r="AR375" s="169">
        <f t="shared" si="237"/>
        <v>131.5021382688935</v>
      </c>
      <c r="AS375" s="168" t="str">
        <f t="shared" si="238"/>
        <v>-0.0111746396845538+0.047290587714144i</v>
      </c>
      <c r="AT375" s="190">
        <f t="shared" si="239"/>
        <v>-26.268539351930443</v>
      </c>
      <c r="AU375" s="169">
        <f t="shared" si="240"/>
        <v>103.29497230226416</v>
      </c>
      <c r="AV375" s="225"/>
      <c r="AX375">
        <f t="shared" si="241"/>
        <v>0</v>
      </c>
      <c r="AY375">
        <f t="shared" si="242"/>
        <v>0</v>
      </c>
    </row>
    <row r="376" spans="14:51" x14ac:dyDescent="0.2">
      <c r="N376" s="170">
        <v>58</v>
      </c>
      <c r="O376" s="199">
        <f t="shared" si="208"/>
        <v>38018.939632056143</v>
      </c>
      <c r="P376" s="189" t="str">
        <f t="shared" si="209"/>
        <v>771.276595744681</v>
      </c>
      <c r="Q376" s="160" t="str">
        <f t="shared" si="210"/>
        <v>1+243657.643748497i</v>
      </c>
      <c r="R376" s="160">
        <f t="shared" si="218"/>
        <v>243657.64375054909</v>
      </c>
      <c r="S376" s="160">
        <f t="shared" si="219"/>
        <v>1.5707922226757538</v>
      </c>
      <c r="T376" s="160" t="str">
        <f t="shared" si="211"/>
        <v>1+0.0573312102937639i</v>
      </c>
      <c r="U376" s="160">
        <f t="shared" si="220"/>
        <v>1.0016420856142916</v>
      </c>
      <c r="V376" s="160">
        <f t="shared" si="221"/>
        <v>5.7268520511940396E-2</v>
      </c>
      <c r="W376" s="98" t="str">
        <f t="shared" si="212"/>
        <v>1-0.162438429165664i</v>
      </c>
      <c r="X376" s="160">
        <f t="shared" si="222"/>
        <v>1.0131072220006174</v>
      </c>
      <c r="Y376" s="160">
        <f t="shared" si="223"/>
        <v>-0.16103191714520868</v>
      </c>
      <c r="Z376" s="98" t="str">
        <f t="shared" si="213"/>
        <v>0.421824091701627-1.11218541721373i</v>
      </c>
      <c r="AA376" s="160">
        <f t="shared" si="224"/>
        <v>1.189492314646371</v>
      </c>
      <c r="AB376" s="160">
        <f t="shared" si="225"/>
        <v>-1.2082830145386914</v>
      </c>
      <c r="AC376" s="171" t="str">
        <f t="shared" si="226"/>
        <v>0.0024121791456668-0.00121401494313458i</v>
      </c>
      <c r="AD376" s="190">
        <f t="shared" si="227"/>
        <v>-51.371271048878327</v>
      </c>
      <c r="AE376" s="169">
        <f t="shared" si="228"/>
        <v>-26.715452355911452</v>
      </c>
      <c r="AF376" s="98" t="str">
        <f t="shared" si="214"/>
        <v>-0.0000119284294234592</v>
      </c>
      <c r="AG376" s="98" t="str">
        <f t="shared" si="215"/>
        <v>0.00133825377628218i</v>
      </c>
      <c r="AH376" s="98">
        <f t="shared" si="229"/>
        <v>1.33825377628218E-3</v>
      </c>
      <c r="AI376" s="98">
        <f t="shared" si="230"/>
        <v>1.5707963267948966</v>
      </c>
      <c r="AJ376" s="98" t="str">
        <f t="shared" si="216"/>
        <v>1+1.15572537262309i</v>
      </c>
      <c r="AK376" s="98">
        <f t="shared" si="231"/>
        <v>1.5283000807841307</v>
      </c>
      <c r="AL376" s="98">
        <f t="shared" si="232"/>
        <v>0.85751093985803617</v>
      </c>
      <c r="AM376" s="98" t="str">
        <f t="shared" si="217"/>
        <v>1+2943.00212841321i</v>
      </c>
      <c r="AN376" s="98">
        <f t="shared" si="233"/>
        <v>2943.0022983077474</v>
      </c>
      <c r="AO376" s="98">
        <f t="shared" si="234"/>
        <v>1.5704565377230981</v>
      </c>
      <c r="AP376" s="168" t="str">
        <f t="shared" si="235"/>
        <v>-11.2265808835671+12.983757803499i</v>
      </c>
      <c r="AQ376" s="98">
        <f t="shared" si="236"/>
        <v>24.692535059378308</v>
      </c>
      <c r="AR376" s="169">
        <f t="shared" si="237"/>
        <v>130.84877378009909</v>
      </c>
      <c r="AS376" s="168" t="str">
        <f t="shared" si="238"/>
        <v>-0.0113180482929941+0.0449483867589483i</v>
      </c>
      <c r="AT376" s="190">
        <f t="shared" si="239"/>
        <v>-26.67873598950003</v>
      </c>
      <c r="AU376" s="169">
        <f t="shared" si="240"/>
        <v>104.13332142418761</v>
      </c>
      <c r="AV376" s="225"/>
      <c r="AX376">
        <f t="shared" si="241"/>
        <v>0</v>
      </c>
      <c r="AY376">
        <f t="shared" si="242"/>
        <v>0</v>
      </c>
    </row>
    <row r="377" spans="14:51" x14ac:dyDescent="0.2">
      <c r="N377" s="170">
        <v>59</v>
      </c>
      <c r="O377" s="199">
        <f t="shared" si="208"/>
        <v>38904.514499428085</v>
      </c>
      <c r="P377" s="189" t="str">
        <f t="shared" si="209"/>
        <v>771.276595744681</v>
      </c>
      <c r="Q377" s="160" t="str">
        <f t="shared" si="210"/>
        <v>1+249333.159363477i</v>
      </c>
      <c r="R377" s="160">
        <f t="shared" si="218"/>
        <v>249333.15936548237</v>
      </c>
      <c r="S377" s="160">
        <f t="shared" si="219"/>
        <v>1.5707923160969111</v>
      </c>
      <c r="T377" s="160" t="str">
        <f t="shared" si="211"/>
        <v>1+0.0586666257325828i</v>
      </c>
      <c r="U377" s="160">
        <f t="shared" si="220"/>
        <v>1.0017194083049639</v>
      </c>
      <c r="V377" s="160">
        <f t="shared" si="221"/>
        <v>5.8599458646778992E-2</v>
      </c>
      <c r="W377" s="98" t="str">
        <f t="shared" si="212"/>
        <v>1-0.166222106242318i</v>
      </c>
      <c r="X377" s="160">
        <f t="shared" si="222"/>
        <v>1.0137207646110602</v>
      </c>
      <c r="Y377" s="160">
        <f t="shared" si="223"/>
        <v>-0.1647161009790461</v>
      </c>
      <c r="Z377" s="98" t="str">
        <f t="shared" si="213"/>
        <v>0.394575500625514-1.13809154355166i</v>
      </c>
      <c r="AA377" s="160">
        <f t="shared" si="224"/>
        <v>1.2045506162871178</v>
      </c>
      <c r="AB377" s="160">
        <f t="shared" si="225"/>
        <v>-1.2370650503205991</v>
      </c>
      <c r="AC377" s="171" t="str">
        <f t="shared" si="226"/>
        <v>0.00235955870717409-0.00111038438769853i</v>
      </c>
      <c r="AD377" s="190">
        <f t="shared" si="227"/>
        <v>-51.674610210388956</v>
      </c>
      <c r="AE377" s="169">
        <f t="shared" si="228"/>
        <v>-25.201199579161464</v>
      </c>
      <c r="AF377" s="98" t="str">
        <f t="shared" si="214"/>
        <v>-0.0000119284294234592</v>
      </c>
      <c r="AG377" s="98" t="str">
        <f t="shared" si="215"/>
        <v>0.00136942571116281i</v>
      </c>
      <c r="AH377" s="98">
        <f t="shared" si="229"/>
        <v>1.3694257111628099E-3</v>
      </c>
      <c r="AI377" s="98">
        <f t="shared" si="230"/>
        <v>1.5707963267948966</v>
      </c>
      <c r="AJ377" s="98" t="str">
        <f t="shared" si="216"/>
        <v>1+1.18264567480627i</v>
      </c>
      <c r="AK377" s="98">
        <f t="shared" si="231"/>
        <v>1.5487578223008198</v>
      </c>
      <c r="AL377" s="98">
        <f t="shared" si="232"/>
        <v>0.86888451876383921</v>
      </c>
      <c r="AM377" s="98" t="str">
        <f t="shared" si="217"/>
        <v>1+3011.55345427259i</v>
      </c>
      <c r="AN377" s="98">
        <f t="shared" si="233"/>
        <v>3011.553620299856</v>
      </c>
      <c r="AO377" s="98">
        <f t="shared" si="234"/>
        <v>1.570464272266086</v>
      </c>
      <c r="AP377" s="168" t="str">
        <f t="shared" si="235"/>
        <v>-10.931953004361+12.9373374719434i</v>
      </c>
      <c r="AQ377" s="98">
        <f t="shared" si="236"/>
        <v>24.577037500608377</v>
      </c>
      <c r="AR377" s="169">
        <f t="shared" si="237"/>
        <v>130.19755886750715</v>
      </c>
      <c r="AS377" s="168" t="str">
        <f t="shared" si="238"/>
        <v>-0.0114291673506248+0.0426650772226702i</v>
      </c>
      <c r="AT377" s="190">
        <f t="shared" si="239"/>
        <v>-27.097572709780572</v>
      </c>
      <c r="AU377" s="169">
        <f t="shared" si="240"/>
        <v>104.99635928834564</v>
      </c>
      <c r="AV377" s="225"/>
      <c r="AX377">
        <f t="shared" si="241"/>
        <v>0</v>
      </c>
      <c r="AY377">
        <f t="shared" si="242"/>
        <v>0</v>
      </c>
    </row>
    <row r="378" spans="14:51" x14ac:dyDescent="0.2">
      <c r="N378" s="170">
        <v>60</v>
      </c>
      <c r="O378" s="199">
        <f t="shared" si="208"/>
        <v>39810.717055349742</v>
      </c>
      <c r="P378" s="189" t="str">
        <f t="shared" si="209"/>
        <v>771.276595744681</v>
      </c>
      <c r="Q378" s="160" t="str">
        <f t="shared" si="210"/>
        <v>1+255140.874719866i</v>
      </c>
      <c r="R378" s="160">
        <f t="shared" si="218"/>
        <v>255140.87472182568</v>
      </c>
      <c r="S378" s="160">
        <f t="shared" si="219"/>
        <v>1.5707924073915431</v>
      </c>
      <c r="T378" s="160" t="str">
        <f t="shared" si="211"/>
        <v>1+0.0600331469929096i</v>
      </c>
      <c r="U378" s="160">
        <f t="shared" si="220"/>
        <v>1.0018003687051988</v>
      </c>
      <c r="V378" s="160">
        <f t="shared" si="221"/>
        <v>5.9961183147523904E-2</v>
      </c>
      <c r="W378" s="98" t="str">
        <f t="shared" si="212"/>
        <v>1-0.170093916479911i</v>
      </c>
      <c r="X378" s="160">
        <f t="shared" si="222"/>
        <v>1.0143628248430021</v>
      </c>
      <c r="Y378" s="160">
        <f t="shared" si="223"/>
        <v>-0.1684814342612804</v>
      </c>
      <c r="Z378" s="98" t="str">
        <f t="shared" si="213"/>
        <v>0.366042723015554-1.1646011010904i</v>
      </c>
      <c r="AA378" s="160">
        <f t="shared" si="224"/>
        <v>1.2207714772772231</v>
      </c>
      <c r="AB378" s="160">
        <f t="shared" si="225"/>
        <v>-1.2662657239526518</v>
      </c>
      <c r="AC378" s="171" t="str">
        <f t="shared" si="226"/>
        <v>0.00230472584986641-0.00101006576995916i</v>
      </c>
      <c r="AD378" s="190">
        <f t="shared" si="227"/>
        <v>-51.984594982904582</v>
      </c>
      <c r="AE378" s="169">
        <f t="shared" si="228"/>
        <v>-23.665846090682994</v>
      </c>
      <c r="AF378" s="98" t="str">
        <f t="shared" si="214"/>
        <v>-0.0000119284294234592</v>
      </c>
      <c r="AG378" s="98" t="str">
        <f t="shared" si="215"/>
        <v>0.001401323733682i</v>
      </c>
      <c r="AH378" s="98">
        <f t="shared" si="229"/>
        <v>1.401323733682E-3</v>
      </c>
      <c r="AI378" s="98">
        <f t="shared" si="230"/>
        <v>1.5707963267948966</v>
      </c>
      <c r="AJ378" s="98" t="str">
        <f t="shared" si="216"/>
        <v>1+1.2101930313804i</v>
      </c>
      <c r="AK378" s="98">
        <f t="shared" si="231"/>
        <v>1.5698940006260553</v>
      </c>
      <c r="AL378" s="98">
        <f t="shared" si="232"/>
        <v>0.88021466146673244</v>
      </c>
      <c r="AM378" s="98" t="str">
        <f t="shared" si="217"/>
        <v>1+3081.70154563603i</v>
      </c>
      <c r="AN378" s="98">
        <f t="shared" si="233"/>
        <v>3081.7017078840545</v>
      </c>
      <c r="AO378" s="98">
        <f t="shared" si="234"/>
        <v>1.5704718307494192</v>
      </c>
      <c r="AP378" s="168" t="str">
        <f t="shared" si="235"/>
        <v>-10.6395711257734+12.8844470914732i</v>
      </c>
      <c r="AQ378" s="98">
        <f t="shared" si="236"/>
        <v>24.459301140624646</v>
      </c>
      <c r="AR378" s="169">
        <f t="shared" si="237"/>
        <v>129.54882257854518</v>
      </c>
      <c r="AS378" s="168" t="str">
        <f t="shared" si="238"/>
        <v>-0.0115071556331153+0.0404417848741439i</v>
      </c>
      <c r="AT378" s="190">
        <f t="shared" si="239"/>
        <v>-27.525293842279943</v>
      </c>
      <c r="AU378" s="169">
        <f t="shared" si="240"/>
        <v>105.88297648786224</v>
      </c>
      <c r="AV378" s="225"/>
      <c r="AX378">
        <f t="shared" si="241"/>
        <v>0</v>
      </c>
      <c r="AY378">
        <f t="shared" si="242"/>
        <v>0</v>
      </c>
    </row>
    <row r="379" spans="14:51" x14ac:dyDescent="0.2">
      <c r="N379" s="170">
        <v>61</v>
      </c>
      <c r="O379" s="199">
        <f t="shared" si="208"/>
        <v>40738.027780411358</v>
      </c>
      <c r="P379" s="189" t="str">
        <f t="shared" si="209"/>
        <v>771.276595744681</v>
      </c>
      <c r="Q379" s="160" t="str">
        <f t="shared" si="210"/>
        <v>1+261083.869145221i</v>
      </c>
      <c r="R379" s="160">
        <f t="shared" si="218"/>
        <v>261083.86914713605</v>
      </c>
      <c r="S379" s="160">
        <f t="shared" si="219"/>
        <v>1.5707924966080555</v>
      </c>
      <c r="T379" s="160" t="str">
        <f t="shared" si="211"/>
        <v>1+0.0614314986224049i</v>
      </c>
      <c r="U379" s="160">
        <f t="shared" si="220"/>
        <v>1.0018851376395372</v>
      </c>
      <c r="V379" s="160">
        <f t="shared" si="221"/>
        <v>6.1354395806816259E-2</v>
      </c>
      <c r="W379" s="98" t="str">
        <f t="shared" si="212"/>
        <v>1-0.17405591276348i</v>
      </c>
      <c r="X379" s="160">
        <f t="shared" si="222"/>
        <v>1.0150347091444352</v>
      </c>
      <c r="Y379" s="160">
        <f t="shared" si="223"/>
        <v>-0.1723294861352333</v>
      </c>
      <c r="Z379" s="98" t="str">
        <f t="shared" si="213"/>
        <v>0.336165237024974-1.19172814554825i</v>
      </c>
      <c r="AA379" s="160">
        <f t="shared" si="224"/>
        <v>1.2382338387703382</v>
      </c>
      <c r="AB379" s="160">
        <f t="shared" si="225"/>
        <v>-1.2958578926527928</v>
      </c>
      <c r="AC379" s="171" t="str">
        <f t="shared" si="226"/>
        <v>0.00224776684042791-0.000913226050746345i</v>
      </c>
      <c r="AD379" s="190">
        <f t="shared" si="227"/>
        <v>-52.301474562545714</v>
      </c>
      <c r="AE379" s="169">
        <f t="shared" si="228"/>
        <v>-22.110996755638755</v>
      </c>
      <c r="AF379" s="98" t="str">
        <f t="shared" si="214"/>
        <v>-0.0000119284294234592</v>
      </c>
      <c r="AG379" s="98" t="str">
        <f t="shared" si="215"/>
        <v>0.00143396475659349i</v>
      </c>
      <c r="AH379" s="98">
        <f t="shared" si="229"/>
        <v>1.4339647565934899E-3</v>
      </c>
      <c r="AI379" s="98">
        <f t="shared" si="230"/>
        <v>1.5707963267948966</v>
      </c>
      <c r="AJ379" s="98" t="str">
        <f t="shared" si="216"/>
        <v>1+1.23838204831856i</v>
      </c>
      <c r="AK379" s="98">
        <f t="shared" si="231"/>
        <v>1.5917255095014569</v>
      </c>
      <c r="AL379" s="98">
        <f t="shared" si="232"/>
        <v>0.89149574034679624</v>
      </c>
      <c r="AM379" s="98" t="str">
        <f t="shared" si="217"/>
        <v>1+3153.48359595012i</v>
      </c>
      <c r="AN379" s="98">
        <f t="shared" si="233"/>
        <v>3153.4837545049286</v>
      </c>
      <c r="AO379" s="98">
        <f t="shared" si="234"/>
        <v>1.570479217180702</v>
      </c>
      <c r="AP379" s="168" t="str">
        <f t="shared" si="235"/>
        <v>-10.3497159064479+12.8252208792761i</v>
      </c>
      <c r="AQ379" s="98">
        <f t="shared" si="236"/>
        <v>24.339344186529939</v>
      </c>
      <c r="AR379" s="169">
        <f t="shared" si="237"/>
        <v>128.90288758170129</v>
      </c>
      <c r="AS379" s="168" t="str">
        <f t="shared" si="238"/>
        <v>-0.011551422408832+0.0382797363971925i</v>
      </c>
      <c r="AT379" s="190">
        <f t="shared" si="239"/>
        <v>-27.962130376015786</v>
      </c>
      <c r="AU379" s="169">
        <f t="shared" si="240"/>
        <v>106.79189082606256</v>
      </c>
      <c r="AV379" s="225"/>
      <c r="AX379">
        <f t="shared" si="241"/>
        <v>0</v>
      </c>
      <c r="AY379">
        <f t="shared" si="242"/>
        <v>0</v>
      </c>
    </row>
    <row r="380" spans="14:51" x14ac:dyDescent="0.2">
      <c r="N380" s="170">
        <v>62</v>
      </c>
      <c r="O380" s="199">
        <f t="shared" si="208"/>
        <v>41686.938347033625</v>
      </c>
      <c r="P380" s="189" t="str">
        <f t="shared" si="209"/>
        <v>771.276595744681</v>
      </c>
      <c r="Q380" s="160" t="str">
        <f t="shared" si="210"/>
        <v>1+267165.293693851i</v>
      </c>
      <c r="R380" s="160">
        <f t="shared" si="218"/>
        <v>267165.29369572247</v>
      </c>
      <c r="S380" s="160">
        <f t="shared" si="219"/>
        <v>1.5707925837937524</v>
      </c>
      <c r="T380" s="160" t="str">
        <f t="shared" si="211"/>
        <v>1+0.0628624220456119i</v>
      </c>
      <c r="U380" s="160">
        <f t="shared" si="220"/>
        <v>1.0019738939241085</v>
      </c>
      <c r="V380" s="160">
        <f t="shared" si="221"/>
        <v>6.2779813677961566E-2</v>
      </c>
      <c r="W380" s="98" t="str">
        <f t="shared" si="212"/>
        <v>1-0.1781101957959i</v>
      </c>
      <c r="X380" s="160">
        <f t="shared" si="222"/>
        <v>1.01573778203159</v>
      </c>
      <c r="Y380" s="160">
        <f t="shared" si="223"/>
        <v>-0.17626184082051813</v>
      </c>
      <c r="Z380" s="98" t="str">
        <f t="shared" si="213"/>
        <v>0.304879668500245-1.21948706004327i</v>
      </c>
      <c r="AA380" s="160">
        <f t="shared" si="224"/>
        <v>1.2570204063092201</v>
      </c>
      <c r="AB380" s="160">
        <f t="shared" si="225"/>
        <v>-1.3258115639174202</v>
      </c>
      <c r="AC380" s="171" t="str">
        <f t="shared" si="226"/>
        <v>0.00218879169058674-0.000820028963237631i</v>
      </c>
      <c r="AD380" s="190">
        <f t="shared" si="227"/>
        <v>-52.625484036789523</v>
      </c>
      <c r="AE380" s="169">
        <f t="shared" si="228"/>
        <v>-20.538419705581855</v>
      </c>
      <c r="AF380" s="98" t="str">
        <f t="shared" si="214"/>
        <v>-0.0000119284294234592</v>
      </c>
      <c r="AG380" s="98" t="str">
        <f t="shared" si="215"/>
        <v>0.0014673660865997i</v>
      </c>
      <c r="AH380" s="98">
        <f t="shared" si="229"/>
        <v>1.4673660865997E-3</v>
      </c>
      <c r="AI380" s="98">
        <f t="shared" si="230"/>
        <v>1.5707963267948966</v>
      </c>
      <c r="AJ380" s="98" t="str">
        <f t="shared" si="216"/>
        <v>1+1.26722767181067i</v>
      </c>
      <c r="AK380" s="98">
        <f t="shared" si="231"/>
        <v>1.6142694856196382</v>
      </c>
      <c r="AL380" s="98">
        <f t="shared" si="232"/>
        <v>0.90272225220461988</v>
      </c>
      <c r="AM380" s="98" t="str">
        <f t="shared" si="217"/>
        <v>1+3226.93766500808i</v>
      </c>
      <c r="AN380" s="98">
        <f t="shared" si="233"/>
        <v>3226.93781995374</v>
      </c>
      <c r="AO380" s="98">
        <f t="shared" si="234"/>
        <v>1.5704864354763153</v>
      </c>
      <c r="AP380" s="168" t="str">
        <f t="shared" si="235"/>
        <v>-10.0626578700672+12.7598076483706i</v>
      </c>
      <c r="AQ380" s="98">
        <f t="shared" si="236"/>
        <v>24.217186948035881</v>
      </c>
      <c r="AR380" s="169">
        <f t="shared" si="237"/>
        <v>128.26006941146861</v>
      </c>
      <c r="AS380" s="168" t="str">
        <f t="shared" si="238"/>
        <v>-0.0115616500942154+0.0361802318548449i</v>
      </c>
      <c r="AT380" s="190">
        <f t="shared" si="239"/>
        <v>-28.408297088753635</v>
      </c>
      <c r="AU380" s="169">
        <f t="shared" si="240"/>
        <v>107.72164970588676</v>
      </c>
      <c r="AV380" s="225"/>
      <c r="AX380">
        <f t="shared" si="241"/>
        <v>0</v>
      </c>
      <c r="AY380">
        <f t="shared" si="242"/>
        <v>0</v>
      </c>
    </row>
    <row r="381" spans="14:51" x14ac:dyDescent="0.2">
      <c r="N381" s="170">
        <v>63</v>
      </c>
      <c r="O381" s="199">
        <f t="shared" si="208"/>
        <v>42657.951880159271</v>
      </c>
      <c r="P381" s="189" t="str">
        <f t="shared" si="209"/>
        <v>771.276595744681</v>
      </c>
      <c r="Q381" s="160" t="str">
        <f t="shared" si="210"/>
        <v>1+273388.372817547i</v>
      </c>
      <c r="R381" s="160">
        <f t="shared" si="218"/>
        <v>273388.37281937589</v>
      </c>
      <c r="S381" s="160">
        <f t="shared" si="219"/>
        <v>1.5707926689948604</v>
      </c>
      <c r="T381" s="160" t="str">
        <f t="shared" si="211"/>
        <v>1+0.0643266759570698i</v>
      </c>
      <c r="U381" s="160">
        <f t="shared" si="220"/>
        <v>1.002066824737595</v>
      </c>
      <c r="V381" s="160">
        <f t="shared" si="221"/>
        <v>6.4238169353811159E-2</v>
      </c>
      <c r="W381" s="98" t="str">
        <f t="shared" si="212"/>
        <v>1-0.182258915211698i</v>
      </c>
      <c r="X381" s="160">
        <f t="shared" si="222"/>
        <v>1.0164734685047834</v>
      </c>
      <c r="Y381" s="160">
        <f t="shared" si="223"/>
        <v>-0.1802800966008011</v>
      </c>
      <c r="Z381" s="98" t="str">
        <f t="shared" si="213"/>
        <v>0.272119656556002-1.24789256271934i</v>
      </c>
      <c r="AA381" s="160">
        <f t="shared" si="224"/>
        <v>1.2772176617845521</v>
      </c>
      <c r="AB381" s="160">
        <f t="shared" si="225"/>
        <v>-1.3560939958719391</v>
      </c>
      <c r="AC381" s="171" t="str">
        <f t="shared" si="226"/>
        <v>0.00212793423598594-0.000730631683791659i</v>
      </c>
      <c r="AD381" s="190">
        <f t="shared" si="227"/>
        <v>-52.956841419902929</v>
      </c>
      <c r="AE381" s="169">
        <f t="shared" si="228"/>
        <v>-18.950040514818877</v>
      </c>
      <c r="AF381" s="98" t="str">
        <f t="shared" si="214"/>
        <v>-0.0000119284294234592</v>
      </c>
      <c r="AG381" s="98" t="str">
        <f t="shared" si="215"/>
        <v>0.0015015454335279i</v>
      </c>
      <c r="AH381" s="98">
        <f t="shared" si="229"/>
        <v>1.5015454335279E-3</v>
      </c>
      <c r="AI381" s="98">
        <f t="shared" si="230"/>
        <v>1.5707963267948966</v>
      </c>
      <c r="AJ381" s="98" t="str">
        <f t="shared" si="216"/>
        <v>1+1.29674519618812i</v>
      </c>
      <c r="AK381" s="98">
        <f t="shared" si="231"/>
        <v>1.6375433135758473</v>
      </c>
      <c r="AL381" s="98">
        <f t="shared" si="232"/>
        <v>0.91388883068839144</v>
      </c>
      <c r="AM381" s="98" t="str">
        <f t="shared" si="217"/>
        <v>1+3302.10269912958i</v>
      </c>
      <c r="AN381" s="98">
        <f t="shared" si="233"/>
        <v>3302.1028505482473</v>
      </c>
      <c r="AO381" s="98">
        <f t="shared" si="234"/>
        <v>1.5704934894634917</v>
      </c>
      <c r="AP381" s="168" t="str">
        <f t="shared" si="235"/>
        <v>-9.77865647683341+12.6883699130693i</v>
      </c>
      <c r="AQ381" s="98">
        <f t="shared" si="236"/>
        <v>24.092851756565182</v>
      </c>
      <c r="AR381" s="169">
        <f t="shared" si="237"/>
        <v>127.62067575644073</v>
      </c>
      <c r="AS381" s="168" t="str">
        <f t="shared" si="238"/>
        <v>-0.0115378128248422+0.0341446129837631i</v>
      </c>
      <c r="AT381" s="190">
        <f t="shared" si="239"/>
        <v>-28.863989663337751</v>
      </c>
      <c r="AU381" s="169">
        <f t="shared" si="240"/>
        <v>108.67063524162184</v>
      </c>
      <c r="AV381" s="225"/>
      <c r="AX381">
        <f t="shared" si="241"/>
        <v>0</v>
      </c>
      <c r="AY381">
        <f t="shared" si="242"/>
        <v>0</v>
      </c>
    </row>
    <row r="382" spans="14:51" x14ac:dyDescent="0.2">
      <c r="N382" s="170">
        <v>64</v>
      </c>
      <c r="O382" s="199">
        <f t="shared" si="208"/>
        <v>43651.583224016598</v>
      </c>
      <c r="P382" s="189" t="str">
        <f t="shared" si="209"/>
        <v>771.276595744681</v>
      </c>
      <c r="Q382" s="160" t="str">
        <f t="shared" si="210"/>
        <v>1+279756.406075233i</v>
      </c>
      <c r="R382" s="160">
        <f t="shared" si="218"/>
        <v>279756.40607702028</v>
      </c>
      <c r="S382" s="160">
        <f t="shared" si="219"/>
        <v>1.5707927522565543</v>
      </c>
      <c r="T382" s="160" t="str">
        <f t="shared" si="211"/>
        <v>1+0.0658250367235843i</v>
      </c>
      <c r="U382" s="160">
        <f t="shared" si="220"/>
        <v>1.002164126009139</v>
      </c>
      <c r="V382" s="160">
        <f t="shared" si="221"/>
        <v>6.5730211246795373E-2</v>
      </c>
      <c r="W382" s="98" t="str">
        <f t="shared" si="212"/>
        <v>1-0.186504270716822i</v>
      </c>
      <c r="X382" s="160">
        <f t="shared" si="222"/>
        <v>1.0172432565495892</v>
      </c>
      <c r="Y382" s="160">
        <f t="shared" si="223"/>
        <v>-0.1843858647099692</v>
      </c>
      <c r="Z382" s="98" t="str">
        <f t="shared" si="213"/>
        <v>0.2378157128147-1.27695971454997i</v>
      </c>
      <c r="AA382" s="160">
        <f t="shared" si="224"/>
        <v>1.2989158655760213</v>
      </c>
      <c r="AB382" s="160">
        <f t="shared" si="225"/>
        <v>-1.3866698460317852</v>
      </c>
      <c r="AC382" s="171" t="str">
        <f t="shared" si="226"/>
        <v>0.00206535167514187-0.000645181399784995i</v>
      </c>
      <c r="AD382" s="190">
        <f t="shared" si="227"/>
        <v>-53.295744733529133</v>
      </c>
      <c r="AE382" s="169">
        <f t="shared" si="228"/>
        <v>-17.347933597169028</v>
      </c>
      <c r="AF382" s="98" t="str">
        <f t="shared" si="214"/>
        <v>-0.0000119284294234592</v>
      </c>
      <c r="AG382" s="98" t="str">
        <f t="shared" si="215"/>
        <v>0.00153652091972027i</v>
      </c>
      <c r="AH382" s="98">
        <f t="shared" si="229"/>
        <v>1.53652091972027E-3</v>
      </c>
      <c r="AI382" s="98">
        <f t="shared" si="230"/>
        <v>1.5707963267948966</v>
      </c>
      <c r="AJ382" s="98" t="str">
        <f t="shared" si="216"/>
        <v>1+1.32695027203303i</v>
      </c>
      <c r="AK382" s="98">
        <f t="shared" si="231"/>
        <v>1.6615646314388532</v>
      </c>
      <c r="AL382" s="98">
        <f t="shared" si="232"/>
        <v>0.92499025790620704</v>
      </c>
      <c r="AM382" s="98" t="str">
        <f t="shared" si="217"/>
        <v>1+3379.01855181066i</v>
      </c>
      <c r="AN382" s="98">
        <f t="shared" si="233"/>
        <v>3379.0186997826177</v>
      </c>
      <c r="AO382" s="98">
        <f t="shared" si="234"/>
        <v>1.5705003828823454</v>
      </c>
      <c r="AP382" s="168" t="str">
        <f t="shared" si="235"/>
        <v>-9.49795928542174+12.6110829292821i</v>
      </c>
      <c r="AQ382" s="98">
        <f t="shared" si="236"/>
        <v>23.966362877612852</v>
      </c>
      <c r="AR382" s="169">
        <f t="shared" si="237"/>
        <v>126.9850057940952</v>
      </c>
      <c r="AS382" s="168" t="str">
        <f t="shared" si="238"/>
        <v>-0.0114801899834562+0.0321742279202151i</v>
      </c>
      <c r="AT382" s="190">
        <f t="shared" si="239"/>
        <v>-29.329381855916292</v>
      </c>
      <c r="AU382" s="169">
        <f t="shared" si="240"/>
        <v>109.6370721969262</v>
      </c>
      <c r="AV382" s="225"/>
      <c r="AX382">
        <f t="shared" si="241"/>
        <v>0</v>
      </c>
      <c r="AY382">
        <f t="shared" si="242"/>
        <v>0</v>
      </c>
    </row>
    <row r="383" spans="14:51" x14ac:dyDescent="0.2">
      <c r="N383" s="170">
        <v>65</v>
      </c>
      <c r="O383" s="199">
        <f t="shared" si="208"/>
        <v>44668.359215096389</v>
      </c>
      <c r="P383" s="189" t="str">
        <f t="shared" si="209"/>
        <v>771.276595744681</v>
      </c>
      <c r="Q383" s="160" t="str">
        <f t="shared" si="210"/>
        <v>1+286272.769882436i</v>
      </c>
      <c r="R383" s="160">
        <f t="shared" si="218"/>
        <v>286272.76988418261</v>
      </c>
      <c r="S383" s="160">
        <f t="shared" si="219"/>
        <v>1.5707928336229808</v>
      </c>
      <c r="T383" s="160" t="str">
        <f t="shared" si="211"/>
        <v>1+0.0673582987958673i</v>
      </c>
      <c r="U383" s="160">
        <f t="shared" si="220"/>
        <v>1.0022660028239376</v>
      </c>
      <c r="V383" s="160">
        <f t="shared" si="221"/>
        <v>6.7256703869767676E-2</v>
      </c>
      <c r="W383" s="98" t="str">
        <f t="shared" si="212"/>
        <v>1-0.190848513254957i</v>
      </c>
      <c r="X383" s="160">
        <f t="shared" si="222"/>
        <v>1.0180486997249334</v>
      </c>
      <c r="Y383" s="160">
        <f t="shared" si="223"/>
        <v>-0.18858076811086891</v>
      </c>
      <c r="Z383" s="98" t="str">
        <f t="shared" si="213"/>
        <v>0.201895074012441-1.30670392732382i</v>
      </c>
      <c r="AA383" s="160">
        <f t="shared" si="224"/>
        <v>1.322209051018024</v>
      </c>
      <c r="AB383" s="160">
        <f t="shared" si="225"/>
        <v>-1.4175013688260059</v>
      </c>
      <c r="AC383" s="171" t="str">
        <f t="shared" si="226"/>
        <v>0.0020012235341902-0.000563811875783286i</v>
      </c>
      <c r="AD383" s="190">
        <f t="shared" si="227"/>
        <v>-53.642369202715358</v>
      </c>
      <c r="AE383" s="169">
        <f t="shared" si="228"/>
        <v>-15.734310802634139</v>
      </c>
      <c r="AF383" s="98" t="str">
        <f t="shared" si="214"/>
        <v>-0.0000119284294234592</v>
      </c>
      <c r="AG383" s="98" t="str">
        <f t="shared" si="215"/>
        <v>0.00157231108964253i</v>
      </c>
      <c r="AH383" s="98">
        <f t="shared" si="229"/>
        <v>1.57231108964253E-3</v>
      </c>
      <c r="AI383" s="98">
        <f t="shared" si="230"/>
        <v>1.5707963267948966</v>
      </c>
      <c r="AJ383" s="98" t="str">
        <f t="shared" si="216"/>
        <v>1+1.35785891447645i</v>
      </c>
      <c r="AK383" s="98">
        <f t="shared" si="231"/>
        <v>1.6863513369470677</v>
      </c>
      <c r="AL383" s="98">
        <f t="shared" si="232"/>
        <v>0.93602147517083067</v>
      </c>
      <c r="AM383" s="98" t="str">
        <f t="shared" si="217"/>
        <v>1+3457.72600485452i</v>
      </c>
      <c r="AN383" s="98">
        <f t="shared" si="233"/>
        <v>3457.7261494582244</v>
      </c>
      <c r="AO383" s="98">
        <f t="shared" si="234"/>
        <v>1.5705071193878564</v>
      </c>
      <c r="AP383" s="168" t="str">
        <f t="shared" si="235"/>
        <v>-9.22080121011253+12.5281336798605i</v>
      </c>
      <c r="AQ383" s="98">
        <f t="shared" si="236"/>
        <v>23.837746417076062</v>
      </c>
      <c r="AR383" s="169">
        <f t="shared" si="237"/>
        <v>126.35334957527483</v>
      </c>
      <c r="AS383" s="168" t="str">
        <f t="shared" si="238"/>
        <v>-0.0113893738356608+0.030270393186116i</v>
      </c>
      <c r="AT383" s="190">
        <f t="shared" si="239"/>
        <v>-29.804622785639303</v>
      </c>
      <c r="AU383" s="169">
        <f t="shared" si="240"/>
        <v>110.61903877264079</v>
      </c>
      <c r="AV383" s="225"/>
      <c r="AX383">
        <f t="shared" si="241"/>
        <v>0</v>
      </c>
      <c r="AY383">
        <f t="shared" si="242"/>
        <v>0</v>
      </c>
    </row>
    <row r="384" spans="14:51" x14ac:dyDescent="0.2">
      <c r="N384" s="170">
        <v>66</v>
      </c>
      <c r="O384" s="199">
        <f t="shared" ref="O384:O418" si="243">10^(4+(N384/100))</f>
        <v>45708.818961487581</v>
      </c>
      <c r="P384" s="189" t="str">
        <f t="shared" si="209"/>
        <v>771.276595744681</v>
      </c>
      <c r="Q384" s="160" t="str">
        <f t="shared" si="210"/>
        <v>1+292940.919301497i</v>
      </c>
      <c r="R384" s="160">
        <f t="shared" si="218"/>
        <v>292940.91930320382</v>
      </c>
      <c r="S384" s="160">
        <f t="shared" si="219"/>
        <v>1.5707929131372813</v>
      </c>
      <c r="T384" s="160" t="str">
        <f t="shared" si="211"/>
        <v>1+0.068927275129764i</v>
      </c>
      <c r="U384" s="160">
        <f t="shared" si="220"/>
        <v>1.002372669847305</v>
      </c>
      <c r="V384" s="160">
        <f t="shared" si="221"/>
        <v>6.8818428117288069E-2</v>
      </c>
      <c r="W384" s="98" t="str">
        <f t="shared" si="212"/>
        <v>1-0.195293946200998i</v>
      </c>
      <c r="X384" s="160">
        <f t="shared" si="222"/>
        <v>1.0188914198396011</v>
      </c>
      <c r="Y384" s="160">
        <f t="shared" si="223"/>
        <v>-0.19286644016061905</v>
      </c>
      <c r="Z384" s="98" t="str">
        <f t="shared" si="213"/>
        <v>0.164281547658383-1.3371409718162i</v>
      </c>
      <c r="AA384" s="160">
        <f t="shared" si="224"/>
        <v>1.3471950138753503</v>
      </c>
      <c r="AB384" s="160">
        <f t="shared" si="225"/>
        <v>-1.4485486606793452</v>
      </c>
      <c r="AC384" s="171" t="str">
        <f t="shared" si="226"/>
        <v>0.0019357500447718-0.000486640129452485i</v>
      </c>
      <c r="AD384" s="190">
        <f t="shared" si="227"/>
        <v>-53.996864639947489</v>
      </c>
      <c r="AE384" s="169">
        <f t="shared" si="228"/>
        <v>-14.111507282642361</v>
      </c>
      <c r="AF384" s="98" t="str">
        <f t="shared" si="214"/>
        <v>-0.0000119284294234592</v>
      </c>
      <c r="AG384" s="98" t="str">
        <f t="shared" si="215"/>
        <v>0.00160893491971652i</v>
      </c>
      <c r="AH384" s="98">
        <f t="shared" si="229"/>
        <v>1.60893491971652E-3</v>
      </c>
      <c r="AI384" s="98">
        <f t="shared" si="230"/>
        <v>1.5707963267948966</v>
      </c>
      <c r="AJ384" s="98" t="str">
        <f t="shared" si="216"/>
        <v>1+1.38948751168969i</v>
      </c>
      <c r="AK384" s="98">
        <f t="shared" si="231"/>
        <v>1.711921594332406</v>
      </c>
      <c r="AL384" s="98">
        <f t="shared" si="232"/>
        <v>0.94697759283315686</v>
      </c>
      <c r="AM384" s="98" t="str">
        <f t="shared" si="217"/>
        <v>1+3538.26678999455i</v>
      </c>
      <c r="AN384" s="98">
        <f t="shared" si="233"/>
        <v>3538.2669313066726</v>
      </c>
      <c r="AO384" s="98">
        <f t="shared" si="234"/>
        <v>1.5705137025518061</v>
      </c>
      <c r="AP384" s="168" t="str">
        <f t="shared" si="235"/>
        <v>-8.9474038765552+12.4397198154658i</v>
      </c>
      <c r="AQ384" s="98">
        <f t="shared" si="236"/>
        <v>23.707030222292332</v>
      </c>
      <c r="AR384" s="169">
        <f t="shared" si="237"/>
        <v>125.72598746088484</v>
      </c>
      <c r="AS384" s="168" t="str">
        <f t="shared" si="238"/>
        <v>-0.0112662705932822+0.0284343539704871i</v>
      </c>
      <c r="AT384" s="190">
        <f t="shared" si="239"/>
        <v>-30.289834417655143</v>
      </c>
      <c r="AU384" s="169">
        <f t="shared" si="240"/>
        <v>111.61448017824247</v>
      </c>
      <c r="AV384" s="225"/>
      <c r="AX384">
        <f t="shared" si="241"/>
        <v>0</v>
      </c>
      <c r="AY384">
        <f t="shared" si="242"/>
        <v>0</v>
      </c>
    </row>
    <row r="385" spans="14:51" x14ac:dyDescent="0.2">
      <c r="N385" s="170">
        <v>67</v>
      </c>
      <c r="O385" s="199">
        <f t="shared" si="243"/>
        <v>46773.514128719893</v>
      </c>
      <c r="P385" s="189" t="str">
        <f t="shared" si="209"/>
        <v>771.276595744681</v>
      </c>
      <c r="Q385" s="160" t="str">
        <f t="shared" si="210"/>
        <v>1+299764.389873505i</v>
      </c>
      <c r="R385" s="160">
        <f t="shared" si="218"/>
        <v>299764.38987517293</v>
      </c>
      <c r="S385" s="160">
        <f t="shared" si="219"/>
        <v>1.5707929908416154</v>
      </c>
      <c r="T385" s="160" t="str">
        <f t="shared" si="211"/>
        <v>1+0.0705327976172951i</v>
      </c>
      <c r="U385" s="160">
        <f t="shared" si="220"/>
        <v>1.0024843517680075</v>
      </c>
      <c r="V385" s="160">
        <f t="shared" si="221"/>
        <v>7.0416181546944248E-2</v>
      </c>
      <c r="W385" s="98" t="str">
        <f t="shared" si="212"/>
        <v>1-0.199842926582336i</v>
      </c>
      <c r="X385" s="160">
        <f t="shared" si="222"/>
        <v>1.0197731097185261</v>
      </c>
      <c r="Y385" s="160">
        <f t="shared" si="223"/>
        <v>-0.19724452315638119</v>
      </c>
      <c r="Z385" s="98" t="str">
        <f t="shared" si="213"/>
        <v>0.124895350420173-1.368286986151i</v>
      </c>
      <c r="AA385" s="160">
        <f t="shared" si="224"/>
        <v>1.3739753000060682</v>
      </c>
      <c r="AB385" s="160">
        <f t="shared" si="225"/>
        <v>-1.4797699498015957</v>
      </c>
      <c r="AC385" s="171" t="str">
        <f t="shared" si="226"/>
        <v>0.00186914994703423-0.000413763333462619i</v>
      </c>
      <c r="AD385" s="190">
        <f t="shared" si="227"/>
        <v>-54.359353089076791</v>
      </c>
      <c r="AE385" s="169">
        <f t="shared" si="228"/>
        <v>-12.481964786903369</v>
      </c>
      <c r="AF385" s="98" t="str">
        <f t="shared" si="214"/>
        <v>-0.0000119284294234592</v>
      </c>
      <c r="AG385" s="98" t="str">
        <f t="shared" si="215"/>
        <v>0.00164641182838171i</v>
      </c>
      <c r="AH385" s="98">
        <f t="shared" si="229"/>
        <v>1.64641182838171E-3</v>
      </c>
      <c r="AI385" s="98">
        <f t="shared" si="230"/>
        <v>1.5707963267948966</v>
      </c>
      <c r="AJ385" s="98" t="str">
        <f t="shared" si="216"/>
        <v>1+1.42185283357369i</v>
      </c>
      <c r="AK385" s="98">
        <f t="shared" si="231"/>
        <v>1.7382938417717331</v>
      </c>
      <c r="AL385" s="98">
        <f t="shared" si="232"/>
        <v>0.95785389917012231</v>
      </c>
      <c r="AM385" s="98" t="str">
        <f t="shared" si="217"/>
        <v>1+3620.68361102115i</v>
      </c>
      <c r="AN385" s="98">
        <f t="shared" si="233"/>
        <v>3620.6837491166157</v>
      </c>
      <c r="AO385" s="98">
        <f t="shared" si="234"/>
        <v>1.5705201358646732</v>
      </c>
      <c r="AP385" s="168" t="str">
        <f t="shared" si="235"/>
        <v>-8.67797507835379+12.3460485615724i</v>
      </c>
      <c r="AQ385" s="98">
        <f t="shared" si="236"/>
        <v>23.574243778547373</v>
      </c>
      <c r="AR385" s="169">
        <f t="shared" si="237"/>
        <v>125.10318961276093</v>
      </c>
      <c r="AS385" s="168" t="str">
        <f t="shared" si="238"/>
        <v>-0.0111120944501418+0.0266672439110703i</v>
      </c>
      <c r="AT385" s="190">
        <f t="shared" si="239"/>
        <v>-30.78510931052941</v>
      </c>
      <c r="AU385" s="169">
        <f t="shared" si="240"/>
        <v>112.62122482585757</v>
      </c>
      <c r="AV385" s="225"/>
      <c r="AX385">
        <f t="shared" si="241"/>
        <v>0</v>
      </c>
      <c r="AY385">
        <f t="shared" si="242"/>
        <v>0</v>
      </c>
    </row>
    <row r="386" spans="14:51" x14ac:dyDescent="0.2">
      <c r="N386" s="170">
        <v>68</v>
      </c>
      <c r="O386" s="199">
        <f t="shared" si="243"/>
        <v>47863.009232263823</v>
      </c>
      <c r="P386" s="189" t="str">
        <f t="shared" si="209"/>
        <v>771.276595744681</v>
      </c>
      <c r="Q386" s="160" t="str">
        <f t="shared" si="210"/>
        <v>1+306746.799492872i</v>
      </c>
      <c r="R386" s="160">
        <f t="shared" si="218"/>
        <v>306746.79949450202</v>
      </c>
      <c r="S386" s="160">
        <f t="shared" si="219"/>
        <v>1.5707930667771828</v>
      </c>
      <c r="T386" s="160" t="str">
        <f t="shared" si="211"/>
        <v>1+0.0721757175277346i</v>
      </c>
      <c r="U386" s="160">
        <f t="shared" si="220"/>
        <v>1.0026012837617173</v>
      </c>
      <c r="V386" s="160">
        <f t="shared" si="221"/>
        <v>7.2050778660259218E-2</v>
      </c>
      <c r="W386" s="98" t="str">
        <f t="shared" si="212"/>
        <v>1-0.204497866328581i</v>
      </c>
      <c r="X386" s="160">
        <f t="shared" si="222"/>
        <v>1.0206955360600645</v>
      </c>
      <c r="Y386" s="160">
        <f t="shared" si="223"/>
        <v>-0.20171666675529262</v>
      </c>
      <c r="Z386" s="98" t="str">
        <f t="shared" si="213"/>
        <v>0.08365293889289-1.40015848435726i</v>
      </c>
      <c r="AA386" s="160">
        <f t="shared" si="224"/>
        <v>1.4026551948012873</v>
      </c>
      <c r="AB386" s="160">
        <f t="shared" si="225"/>
        <v>-1.5111219261780957</v>
      </c>
      <c r="AC386" s="171" t="str">
        <f t="shared" si="226"/>
        <v>0.00180165775590072-0.00034525605834642i</v>
      </c>
      <c r="AD386" s="190">
        <f t="shared" si="227"/>
        <v>-54.729926797130169</v>
      </c>
      <c r="AE386" s="169">
        <f t="shared" si="228"/>
        <v>-10.848212649720471</v>
      </c>
      <c r="AF386" s="98" t="str">
        <f t="shared" si="214"/>
        <v>-0.0000119284294234592</v>
      </c>
      <c r="AG386" s="98" t="str">
        <f t="shared" si="215"/>
        <v>0.00168476168639115i</v>
      </c>
      <c r="AH386" s="98">
        <f t="shared" si="229"/>
        <v>1.68476168639115E-3</v>
      </c>
      <c r="AI386" s="98">
        <f t="shared" si="230"/>
        <v>1.5707963267948966</v>
      </c>
      <c r="AJ386" s="98" t="str">
        <f t="shared" si="216"/>
        <v>1+1.45497204065049i</v>
      </c>
      <c r="AK386" s="98">
        <f t="shared" si="231"/>
        <v>1.7654867994620211</v>
      </c>
      <c r="AL386" s="98">
        <f t="shared" si="232"/>
        <v>0.96864586830178512</v>
      </c>
      <c r="AM386" s="98" t="str">
        <f t="shared" si="217"/>
        <v>1+3705.02016642371i</v>
      </c>
      <c r="AN386" s="98">
        <f t="shared" si="233"/>
        <v>3705.02030137574</v>
      </c>
      <c r="AO386" s="98">
        <f t="shared" si="234"/>
        <v>1.5705264227374829</v>
      </c>
      <c r="AP386" s="168" t="str">
        <f t="shared" si="235"/>
        <v>-8.41270833543538+12.2473356021753i</v>
      </c>
      <c r="AQ386" s="98">
        <f t="shared" si="236"/>
        <v>23.439418101826316</v>
      </c>
      <c r="AR386" s="169">
        <f t="shared" si="237"/>
        <v>124.48521554015949</v>
      </c>
      <c r="AS386" s="168" t="str">
        <f t="shared" si="238"/>
        <v>-0.010928354405415+0.0249700456966886i</v>
      </c>
      <c r="AT386" s="190">
        <f t="shared" si="239"/>
        <v>-31.290508695303856</v>
      </c>
      <c r="AU386" s="169">
        <f t="shared" si="240"/>
        <v>113.63700289043911</v>
      </c>
      <c r="AV386" s="225"/>
      <c r="AX386">
        <f t="shared" si="241"/>
        <v>0</v>
      </c>
      <c r="AY386">
        <f t="shared" si="242"/>
        <v>0</v>
      </c>
    </row>
    <row r="387" spans="14:51" x14ac:dyDescent="0.2">
      <c r="N387" s="170">
        <v>69</v>
      </c>
      <c r="O387" s="199">
        <f t="shared" si="243"/>
        <v>48977.881936844598</v>
      </c>
      <c r="P387" s="189" t="str">
        <f t="shared" si="209"/>
        <v>771.276595744681</v>
      </c>
      <c r="Q387" s="160" t="str">
        <f t="shared" si="210"/>
        <v>1+313891.850325605i</v>
      </c>
      <c r="R387" s="160">
        <f t="shared" si="218"/>
        <v>313891.85032719787</v>
      </c>
      <c r="S387" s="160">
        <f t="shared" si="219"/>
        <v>1.5707931409842457</v>
      </c>
      <c r="T387" s="160" t="str">
        <f t="shared" si="211"/>
        <v>1+0.0738569059589659i</v>
      </c>
      <c r="U387" s="160">
        <f t="shared" si="220"/>
        <v>1.0027237119754531</v>
      </c>
      <c r="V387" s="160">
        <f t="shared" si="221"/>
        <v>7.3723051182712052E-2</v>
      </c>
      <c r="W387" s="98" t="str">
        <f t="shared" si="212"/>
        <v>1-0.209261233550403i</v>
      </c>
      <c r="X387" s="160">
        <f t="shared" si="222"/>
        <v>1.0216605423853053</v>
      </c>
      <c r="Y387" s="160">
        <f t="shared" si="223"/>
        <v>-0.20628452626219618</v>
      </c>
      <c r="Z387" s="98" t="str">
        <f t="shared" si="213"/>
        <v>0.0404668323922061-1.43277236512523i</v>
      </c>
      <c r="AA387" s="160">
        <f t="shared" si="224"/>
        <v>1.4333437183001165</v>
      </c>
      <c r="AB387" s="160">
        <f t="shared" si="225"/>
        <v>-1.5425601056871521</v>
      </c>
      <c r="AC387" s="171" t="str">
        <f t="shared" si="226"/>
        <v>0.00173352055477303-0.000281167963366082i</v>
      </c>
      <c r="AD387" s="190">
        <f t="shared" si="227"/>
        <v>-55.108646574861069</v>
      </c>
      <c r="AE387" s="169">
        <f t="shared" si="228"/>
        <v>-9.2128468134503798</v>
      </c>
      <c r="AF387" s="98" t="str">
        <f t="shared" si="214"/>
        <v>-0.0000119284294234592</v>
      </c>
      <c r="AG387" s="98" t="str">
        <f t="shared" si="215"/>
        <v>0.00172400482734716i</v>
      </c>
      <c r="AH387" s="98">
        <f t="shared" si="229"/>
        <v>1.7240048273471601E-3</v>
      </c>
      <c r="AI387" s="98">
        <f t="shared" si="230"/>
        <v>1.5707963267948966</v>
      </c>
      <c r="AJ387" s="98" t="str">
        <f t="shared" si="216"/>
        <v>1+1.48886269316207i</v>
      </c>
      <c r="AK387" s="98">
        <f t="shared" si="231"/>
        <v>1.7935194783134676</v>
      </c>
      <c r="AL387" s="98">
        <f t="shared" si="232"/>
        <v>0.9793491671218818</v>
      </c>
      <c r="AM387" s="98" t="str">
        <f t="shared" si="217"/>
        <v>1+3791.32117256025i</v>
      </c>
      <c r="AN387" s="98">
        <f t="shared" si="233"/>
        <v>3791.3213044403965</v>
      </c>
      <c r="AO387" s="98">
        <f t="shared" si="234"/>
        <v>1.5705325665036167</v>
      </c>
      <c r="AP387" s="168" t="str">
        <f t="shared" si="235"/>
        <v>-8.15178255396549+12.1438039505837i</v>
      </c>
      <c r="AQ387" s="98">
        <f t="shared" si="236"/>
        <v>23.302585628584488</v>
      </c>
      <c r="AR387" s="169">
        <f t="shared" si="237"/>
        <v>123.87231370277057</v>
      </c>
      <c r="AS387" s="168" t="str">
        <f t="shared" si="238"/>
        <v>-0.0107168339910368+0.0233435538599724i</v>
      </c>
      <c r="AT387" s="190">
        <f t="shared" si="239"/>
        <v>-31.806060946276581</v>
      </c>
      <c r="AU387" s="169">
        <f t="shared" si="240"/>
        <v>114.65946688932029</v>
      </c>
      <c r="AV387" s="225"/>
      <c r="AX387">
        <f t="shared" si="241"/>
        <v>0</v>
      </c>
      <c r="AY387">
        <f t="shared" si="242"/>
        <v>0</v>
      </c>
    </row>
    <row r="388" spans="14:51" x14ac:dyDescent="0.2">
      <c r="N388" s="170">
        <v>70</v>
      </c>
      <c r="O388" s="199">
        <f t="shared" si="243"/>
        <v>50118.723362727294</v>
      </c>
      <c r="P388" s="189" t="str">
        <f t="shared" si="209"/>
        <v>771.276595744681</v>
      </c>
      <c r="Q388" s="160" t="str">
        <f t="shared" si="210"/>
        <v>1+321203.330772232i</v>
      </c>
      <c r="R388" s="160">
        <f t="shared" si="218"/>
        <v>321203.33077378862</v>
      </c>
      <c r="S388" s="160">
        <f t="shared" si="219"/>
        <v>1.5707932135021496</v>
      </c>
      <c r="T388" s="160" t="str">
        <f t="shared" si="211"/>
        <v>1+0.0755772542993486i</v>
      </c>
      <c r="U388" s="160">
        <f t="shared" si="220"/>
        <v>1.0028518940339237</v>
      </c>
      <c r="V388" s="160">
        <f t="shared" si="221"/>
        <v>7.543384834234064E-2</v>
      </c>
      <c r="W388" s="98" t="str">
        <f t="shared" si="212"/>
        <v>1-0.214135553848154i</v>
      </c>
      <c r="X388" s="160">
        <f t="shared" si="222"/>
        <v>1.022670052080267</v>
      </c>
      <c r="Y388" s="160">
        <f t="shared" si="223"/>
        <v>-0.21094976077868099</v>
      </c>
      <c r="Z388" s="98" t="str">
        <f t="shared" si="213"/>
        <v>-0.00475457260383005-1.46614592076617i</v>
      </c>
      <c r="AA388" s="160">
        <f t="shared" si="224"/>
        <v>1.4661536300606173</v>
      </c>
      <c r="AB388" s="160">
        <f t="shared" si="225"/>
        <v>-1.5740392208817267</v>
      </c>
      <c r="AC388" s="171" t="str">
        <f t="shared" si="226"/>
        <v>0.00166499440483584-0.000221522027968484i</v>
      </c>
      <c r="AD388" s="190">
        <f t="shared" si="227"/>
        <v>-55.495540596671837</v>
      </c>
      <c r="AE388" s="169">
        <f t="shared" si="228"/>
        <v>-7.5785073163485892</v>
      </c>
      <c r="AF388" s="98" t="str">
        <f t="shared" si="214"/>
        <v>-0.0000119284294234592</v>
      </c>
      <c r="AG388" s="98" t="str">
        <f t="shared" si="215"/>
        <v>0.00176416205848255i</v>
      </c>
      <c r="AH388" s="98">
        <f t="shared" si="229"/>
        <v>1.7641620584825501E-3</v>
      </c>
      <c r="AI388" s="98">
        <f t="shared" si="230"/>
        <v>1.5707963267948966</v>
      </c>
      <c r="AJ388" s="98" t="str">
        <f t="shared" si="216"/>
        <v>1+1.523542760381i</v>
      </c>
      <c r="AK388" s="98">
        <f t="shared" si="231"/>
        <v>1.8224111892515795</v>
      </c>
      <c r="AL388" s="98">
        <f t="shared" si="232"/>
        <v>0.98995966123483214</v>
      </c>
      <c r="AM388" s="98" t="str">
        <f t="shared" si="217"/>
        <v>1+3879.63238736656i</v>
      </c>
      <c r="AN388" s="98">
        <f t="shared" si="233"/>
        <v>3879.6325162447479</v>
      </c>
      <c r="AO388" s="98">
        <f t="shared" si="234"/>
        <v>1.5705385704205788</v>
      </c>
      <c r="AP388" s="168" t="str">
        <f t="shared" si="235"/>
        <v>-7.89536178644798+12.0356828173501i</v>
      </c>
      <c r="AQ388" s="98">
        <f t="shared" si="236"/>
        <v>23.163780103306948</v>
      </c>
      <c r="AR388" s="169">
        <f t="shared" si="237"/>
        <v>123.26472117065244</v>
      </c>
      <c r="AS388" s="168" t="str">
        <f t="shared" si="238"/>
        <v>-0.0104795643329058+0.0217883411037456i</v>
      </c>
      <c r="AT388" s="190">
        <f t="shared" si="239"/>
        <v>-32.331760493364882</v>
      </c>
      <c r="AU388" s="169">
        <f t="shared" si="240"/>
        <v>115.68621385430396</v>
      </c>
      <c r="AV388" s="225"/>
      <c r="AX388">
        <f t="shared" si="241"/>
        <v>0</v>
      </c>
      <c r="AY388">
        <f t="shared" si="242"/>
        <v>0</v>
      </c>
    </row>
    <row r="389" spans="14:51" x14ac:dyDescent="0.2">
      <c r="N389" s="170">
        <v>71</v>
      </c>
      <c r="O389" s="199">
        <f t="shared" si="243"/>
        <v>51286.138399136544</v>
      </c>
      <c r="P389" s="189" t="str">
        <f t="shared" si="209"/>
        <v>771.276595744681</v>
      </c>
      <c r="Q389" s="160" t="str">
        <f t="shared" si="210"/>
        <v>1+328685.117476463i</v>
      </c>
      <c r="R389" s="160">
        <f t="shared" si="218"/>
        <v>328685.11747798423</v>
      </c>
      <c r="S389" s="160">
        <f t="shared" si="219"/>
        <v>1.5707932843693446</v>
      </c>
      <c r="T389" s="160" t="str">
        <f t="shared" si="211"/>
        <v>1+0.0773376747003441i</v>
      </c>
      <c r="U389" s="160">
        <f t="shared" si="220"/>
        <v>1.002986099568711</v>
      </c>
      <c r="V389" s="160">
        <f t="shared" si="221"/>
        <v>7.7184037146359935E-2</v>
      </c>
      <c r="W389" s="98" t="str">
        <f t="shared" si="212"/>
        <v>1-0.219123411650975i</v>
      </c>
      <c r="X389" s="160">
        <f t="shared" si="222"/>
        <v>1.0237260715316194</v>
      </c>
      <c r="Y389" s="160">
        <f t="shared" si="223"/>
        <v>-0.21571403120691537</v>
      </c>
      <c r="Z389" s="98" t="str">
        <f t="shared" si="213"/>
        <v>-0.0521071967581599-1.50029684638104i</v>
      </c>
      <c r="AA389" s="160">
        <f t="shared" si="224"/>
        <v>1.5012014479126004</v>
      </c>
      <c r="AB389" s="160">
        <f t="shared" si="225"/>
        <v>-1.6055136298544364</v>
      </c>
      <c r="AC389" s="171" t="str">
        <f t="shared" si="226"/>
        <v>0.00159634047828788-0.000166313395989606i</v>
      </c>
      <c r="AD389" s="190">
        <f t="shared" si="227"/>
        <v>-55.89060367766379</v>
      </c>
      <c r="AE389" s="169">
        <f t="shared" si="228"/>
        <v>-5.9478547361102958</v>
      </c>
      <c r="AF389" s="98" t="str">
        <f t="shared" si="214"/>
        <v>-0.0000119284294234592</v>
      </c>
      <c r="AG389" s="98" t="str">
        <f t="shared" si="215"/>
        <v>0.00180525467169278i</v>
      </c>
      <c r="AH389" s="98">
        <f t="shared" si="229"/>
        <v>1.80525467169278E-3</v>
      </c>
      <c r="AI389" s="98">
        <f t="shared" si="230"/>
        <v>1.5707963267948966</v>
      </c>
      <c r="AJ389" s="98" t="str">
        <f t="shared" si="216"/>
        <v>1+1.55903063013796i</v>
      </c>
      <c r="AK389" s="98">
        <f t="shared" si="231"/>
        <v>1.8521815531173946</v>
      </c>
      <c r="AL389" s="98">
        <f t="shared" si="232"/>
        <v>1.0004734199009708</v>
      </c>
      <c r="AM389" s="98" t="str">
        <f t="shared" si="217"/>
        <v>1+3970.00063461766i</v>
      </c>
      <c r="AN389" s="98">
        <f t="shared" si="233"/>
        <v>3970.0007605622222</v>
      </c>
      <c r="AO389" s="98">
        <f t="shared" si="234"/>
        <v>1.5705444376717235</v>
      </c>
      <c r="AP389" s="168" t="str">
        <f t="shared" si="235"/>
        <v>-7.64359508959885+11.9232064849297i</v>
      </c>
      <c r="AQ389" s="98">
        <f t="shared" si="236"/>
        <v>23.023036464613643</v>
      </c>
      <c r="AR389" s="169">
        <f t="shared" si="237"/>
        <v>122.66266334099147</v>
      </c>
      <c r="AS389" s="168" t="str">
        <f t="shared" si="238"/>
        <v>-0.0102187912795752+0.0203047293997985i</v>
      </c>
      <c r="AT389" s="190">
        <f t="shared" si="239"/>
        <v>-32.867567213050144</v>
      </c>
      <c r="AU389" s="169">
        <f t="shared" si="240"/>
        <v>116.71480860488124</v>
      </c>
      <c r="AV389" s="225"/>
      <c r="AX389">
        <f t="shared" si="241"/>
        <v>0</v>
      </c>
      <c r="AY389">
        <f t="shared" si="242"/>
        <v>0</v>
      </c>
    </row>
    <row r="390" spans="14:51" x14ac:dyDescent="0.2">
      <c r="N390" s="170">
        <v>72</v>
      </c>
      <c r="O390" s="199">
        <f t="shared" si="243"/>
        <v>52480.746024977314</v>
      </c>
      <c r="P390" s="189" t="str">
        <f t="shared" si="209"/>
        <v>771.276595744681</v>
      </c>
      <c r="Q390" s="160" t="str">
        <f t="shared" si="210"/>
        <v>1+336341.17738064i</v>
      </c>
      <c r="R390" s="160">
        <f t="shared" si="218"/>
        <v>336341.17738212657</v>
      </c>
      <c r="S390" s="160">
        <f t="shared" si="219"/>
        <v>1.5707933536234051</v>
      </c>
      <c r="T390" s="160" t="str">
        <f t="shared" si="211"/>
        <v>1+0.0791391005601506i</v>
      </c>
      <c r="U390" s="160">
        <f t="shared" si="220"/>
        <v>1.0031266107712773</v>
      </c>
      <c r="V390" s="160">
        <f t="shared" si="221"/>
        <v>7.8974502655179107E-2</v>
      </c>
      <c r="W390" s="98" t="str">
        <f t="shared" si="212"/>
        <v>1-0.224227451587093i</v>
      </c>
      <c r="X390" s="160">
        <f t="shared" si="222"/>
        <v>1.0248306933563427</v>
      </c>
      <c r="Y390" s="160">
        <f t="shared" si="223"/>
        <v>-0.22057899810171275</v>
      </c>
      <c r="Z390" s="98" t="str">
        <f t="shared" si="213"/>
        <v>-0.10169148133527-1.53524324924263i</v>
      </c>
      <c r="AA390" s="160">
        <f t="shared" si="224"/>
        <v>1.5386074846175777</v>
      </c>
      <c r="AB390" s="160">
        <f t="shared" si="225"/>
        <v>-1.6369377338295543</v>
      </c>
      <c r="AC390" s="171" t="str">
        <f t="shared" si="226"/>
        <v>0.00152782103854535-0.000115508879579415i</v>
      </c>
      <c r="AD390" s="190">
        <f t="shared" si="227"/>
        <v>-56.293797050637586</v>
      </c>
      <c r="AE390" s="169">
        <f t="shared" si="228"/>
        <v>-4.3235461248448086</v>
      </c>
      <c r="AF390" s="98" t="str">
        <f t="shared" si="214"/>
        <v>-0.0000119284294234592</v>
      </c>
      <c r="AG390" s="98" t="str">
        <f t="shared" si="215"/>
        <v>0.00184730445482532i</v>
      </c>
      <c r="AH390" s="98">
        <f t="shared" si="229"/>
        <v>1.8473044548253199E-3</v>
      </c>
      <c r="AI390" s="98">
        <f t="shared" si="230"/>
        <v>1.5707963267948966</v>
      </c>
      <c r="AJ390" s="98" t="str">
        <f t="shared" si="216"/>
        <v>1+1.59534511857122i</v>
      </c>
      <c r="AK390" s="98">
        <f t="shared" si="231"/>
        <v>1.8828505111529752</v>
      </c>
      <c r="AL390" s="98">
        <f t="shared" si="232"/>
        <v>1.0108867199999305</v>
      </c>
      <c r="AM390" s="98" t="str">
        <f t="shared" si="217"/>
        <v>1+4062.4738287544i</v>
      </c>
      <c r="AN390" s="98">
        <f t="shared" si="233"/>
        <v>4062.4739518321135</v>
      </c>
      <c r="AO390" s="98">
        <f t="shared" si="234"/>
        <v>1.5705501713679435</v>
      </c>
      <c r="AP390" s="168" t="str">
        <f t="shared" si="235"/>
        <v>-7.39661647662259+11.8066131980961i</v>
      </c>
      <c r="AQ390" s="98">
        <f t="shared" si="236"/>
        <v>22.880390730642517</v>
      </c>
      <c r="AR390" s="169">
        <f t="shared" si="237"/>
        <v>122.06635371111248</v>
      </c>
      <c r="AS390" s="168" t="str">
        <f t="shared" si="238"/>
        <v>-0.00993693760489556+0.0188927669199117i</v>
      </c>
      <c r="AT390" s="190">
        <f t="shared" si="239"/>
        <v>-33.413406319995083</v>
      </c>
      <c r="AU390" s="169">
        <f t="shared" si="240"/>
        <v>117.74280758626772</v>
      </c>
      <c r="AV390" s="225"/>
      <c r="AX390">
        <f t="shared" si="241"/>
        <v>0</v>
      </c>
      <c r="AY390">
        <f t="shared" si="242"/>
        <v>0</v>
      </c>
    </row>
    <row r="391" spans="14:51" x14ac:dyDescent="0.2">
      <c r="N391" s="170">
        <v>73</v>
      </c>
      <c r="O391" s="199">
        <f t="shared" si="243"/>
        <v>53703.179637025423</v>
      </c>
      <c r="P391" s="189" t="str">
        <f t="shared" si="209"/>
        <v>771.276595744681</v>
      </c>
      <c r="Q391" s="160" t="str">
        <f t="shared" si="210"/>
        <v>1+344175.569829068i</v>
      </c>
      <c r="R391" s="160">
        <f t="shared" si="218"/>
        <v>344175.56983052066</v>
      </c>
      <c r="S391" s="160">
        <f t="shared" si="219"/>
        <v>1.5707934213010508</v>
      </c>
      <c r="T391" s="160" t="str">
        <f t="shared" si="211"/>
        <v>1+0.0809824870186041i</v>
      </c>
      <c r="U391" s="160">
        <f t="shared" si="220"/>
        <v>1.0032737229708144</v>
      </c>
      <c r="V391" s="160">
        <f t="shared" si="221"/>
        <v>8.0806148253149163E-2</v>
      </c>
      <c r="W391" s="98" t="str">
        <f t="shared" si="212"/>
        <v>1-0.229450379886045i</v>
      </c>
      <c r="X391" s="160">
        <f t="shared" si="222"/>
        <v>1.0259860997254546</v>
      </c>
      <c r="Y391" s="160">
        <f t="shared" si="223"/>
        <v>-0.22554631936430131</v>
      </c>
      <c r="Z391" s="98" t="str">
        <f t="shared" si="213"/>
        <v>-0.15361260125065-1.57100365839632i</v>
      </c>
      <c r="AA391" s="160">
        <f t="shared" si="224"/>
        <v>1.5784959062213662</v>
      </c>
      <c r="AB391" s="160">
        <f t="shared" si="225"/>
        <v>-1.668266393747154</v>
      </c>
      <c r="AC391" s="171" t="str">
        <f t="shared" si="226"/>
        <v>0.00145969539854481-0.000069047141487367i</v>
      </c>
      <c r="AD391" s="190">
        <f t="shared" si="227"/>
        <v>-56.705048649681267</v>
      </c>
      <c r="AE391" s="169">
        <f t="shared" si="228"/>
        <v>-2.7082109929137084</v>
      </c>
      <c r="AF391" s="98" t="str">
        <f t="shared" si="214"/>
        <v>-0.0000119284294234592</v>
      </c>
      <c r="AG391" s="98" t="str">
        <f t="shared" si="215"/>
        <v>0.00189033370323177i</v>
      </c>
      <c r="AH391" s="98">
        <f t="shared" si="229"/>
        <v>1.89033370323177E-3</v>
      </c>
      <c r="AI391" s="98">
        <f t="shared" si="230"/>
        <v>1.5707963267948966</v>
      </c>
      <c r="AJ391" s="98" t="str">
        <f t="shared" si="216"/>
        <v>1+1.63250548010324i</v>
      </c>
      <c r="AK391" s="98">
        <f t="shared" si="231"/>
        <v>1.9144383360576307</v>
      </c>
      <c r="AL391" s="98">
        <f t="shared" si="232"/>
        <v>1.0211960490297356</v>
      </c>
      <c r="AM391" s="98" t="str">
        <f t="shared" si="217"/>
        <v>1+4157.10100028835i</v>
      </c>
      <c r="AN391" s="98">
        <f t="shared" si="233"/>
        <v>4157.1011205644745</v>
      </c>
      <c r="AO391" s="98">
        <f t="shared" si="234"/>
        <v>1.5705557745493193</v>
      </c>
      <c r="AP391" s="168" t="str">
        <f t="shared" si="235"/>
        <v>-7.15454495967143+11.6861440784786i</v>
      </c>
      <c r="AQ391" s="98">
        <f t="shared" si="236"/>
        <v>22.735879884415834</v>
      </c>
      <c r="AR391" s="169">
        <f t="shared" si="237"/>
        <v>121.4759937067375</v>
      </c>
      <c r="AS391" s="168" t="str">
        <f t="shared" si="238"/>
        <v>-0.00963656151268588+0.0175522116161951i</v>
      </c>
      <c r="AT391" s="190">
        <f t="shared" si="239"/>
        <v>-33.969168765265415</v>
      </c>
      <c r="AU391" s="169">
        <f t="shared" si="240"/>
        <v>118.76778271382372</v>
      </c>
      <c r="AV391" s="225"/>
      <c r="AX391">
        <f t="shared" si="241"/>
        <v>0</v>
      </c>
      <c r="AY391">
        <f t="shared" si="242"/>
        <v>0</v>
      </c>
    </row>
    <row r="392" spans="14:51" x14ac:dyDescent="0.2">
      <c r="N392" s="170">
        <v>74</v>
      </c>
      <c r="O392" s="199">
        <f t="shared" si="243"/>
        <v>54954.087385762505</v>
      </c>
      <c r="P392" s="189" t="str">
        <f t="shared" si="209"/>
        <v>771.276595744681</v>
      </c>
      <c r="Q392" s="160" t="str">
        <f t="shared" si="210"/>
        <v>1+352192.44872032i</v>
      </c>
      <c r="R392" s="160">
        <f t="shared" si="218"/>
        <v>352192.4487217397</v>
      </c>
      <c r="S392" s="160">
        <f t="shared" si="219"/>
        <v>1.5707934874381653</v>
      </c>
      <c r="T392" s="160" t="str">
        <f t="shared" si="211"/>
        <v>1+0.0828688114636046i</v>
      </c>
      <c r="U392" s="160">
        <f t="shared" si="220"/>
        <v>1.0034277452379869</v>
      </c>
      <c r="V392" s="160">
        <f t="shared" si="221"/>
        <v>8.2679895915315563E-2</v>
      </c>
      <c r="W392" s="98" t="str">
        <f t="shared" si="212"/>
        <v>1-0.234794965813546i</v>
      </c>
      <c r="X392" s="160">
        <f t="shared" si="222"/>
        <v>1.0271945657816655</v>
      </c>
      <c r="Y392" s="160">
        <f t="shared" si="223"/>
        <v>-0.23061764777128982</v>
      </c>
      <c r="Z392" s="98" t="str">
        <f t="shared" si="213"/>
        <v>-0.20798068816081-1.60759703448438i</v>
      </c>
      <c r="AA392" s="160">
        <f t="shared" si="224"/>
        <v>1.620994815516329</v>
      </c>
      <c r="AB392" s="160">
        <f t="shared" si="225"/>
        <v>-1.6994553361481703</v>
      </c>
      <c r="AC392" s="171" t="str">
        <f t="shared" si="226"/>
        <v>0.00139221598905994-0.0000268395448167801i</v>
      </c>
      <c r="AD392" s="190">
        <f t="shared" si="227"/>
        <v>-57.124253890426672</v>
      </c>
      <c r="AE392" s="169">
        <f t="shared" si="228"/>
        <v>-1.1044278965669869</v>
      </c>
      <c r="AF392" s="98" t="str">
        <f t="shared" si="214"/>
        <v>-0.0000119284294234592</v>
      </c>
      <c r="AG392" s="98" t="str">
        <f t="shared" si="215"/>
        <v>0.00193436523158919i</v>
      </c>
      <c r="AH392" s="98">
        <f t="shared" si="229"/>
        <v>1.9343652315891901E-3</v>
      </c>
      <c r="AI392" s="98">
        <f t="shared" si="230"/>
        <v>1.5707963267948966</v>
      </c>
      <c r="AJ392" s="98" t="str">
        <f t="shared" si="216"/>
        <v>1+1.67053141764957i</v>
      </c>
      <c r="AK392" s="98">
        <f t="shared" si="231"/>
        <v>1.9469656435988492</v>
      </c>
      <c r="AL392" s="98">
        <f t="shared" si="232"/>
        <v>1.0313981071661564</v>
      </c>
      <c r="AM392" s="98" t="str">
        <f t="shared" si="217"/>
        <v>1+4253.93232179837i</v>
      </c>
      <c r="AN392" s="98">
        <f t="shared" si="233"/>
        <v>4253.9324393366751</v>
      </c>
      <c r="AO392" s="98">
        <f t="shared" si="234"/>
        <v>1.5705612501867299</v>
      </c>
      <c r="AP392" s="168" t="str">
        <f t="shared" si="235"/>
        <v>-6.91748467752596+11.5620420708481i</v>
      </c>
      <c r="AQ392" s="98">
        <f t="shared" si="236"/>
        <v>22.589541759858392</v>
      </c>
      <c r="AR392" s="169">
        <f t="shared" si="237"/>
        <v>120.89177256408725</v>
      </c>
      <c r="AS392" s="168" t="str">
        <f t="shared" si="238"/>
        <v>-0.00932031282579476+0.0162825219772403i</v>
      </c>
      <c r="AT392" s="190">
        <f t="shared" si="239"/>
        <v>-34.534712130568273</v>
      </c>
      <c r="AU392" s="169">
        <f t="shared" si="240"/>
        <v>119.78734466752022</v>
      </c>
      <c r="AV392" s="225"/>
      <c r="AX392">
        <f t="shared" si="241"/>
        <v>0</v>
      </c>
      <c r="AY392">
        <f t="shared" si="242"/>
        <v>0</v>
      </c>
    </row>
    <row r="393" spans="14:51" x14ac:dyDescent="0.2">
      <c r="N393" s="170">
        <v>75</v>
      </c>
      <c r="O393" s="199">
        <f t="shared" si="243"/>
        <v>56234.132519034953</v>
      </c>
      <c r="P393" s="189" t="str">
        <f t="shared" si="209"/>
        <v>771.276595744681</v>
      </c>
      <c r="Q393" s="160" t="str">
        <f t="shared" si="210"/>
        <v>1+360396.064709702i</v>
      </c>
      <c r="R393" s="160">
        <f t="shared" si="218"/>
        <v>360396.06471108936</v>
      </c>
      <c r="S393" s="160">
        <f t="shared" si="219"/>
        <v>1.5707935520698153</v>
      </c>
      <c r="T393" s="160" t="str">
        <f t="shared" si="211"/>
        <v>1+0.0847990740493415i</v>
      </c>
      <c r="U393" s="160">
        <f t="shared" si="220"/>
        <v>1.0035890010156676</v>
      </c>
      <c r="V393" s="160">
        <f t="shared" si="221"/>
        <v>8.4596686469400745E-2</v>
      </c>
      <c r="W393" s="98" t="str">
        <f t="shared" si="212"/>
        <v>1-0.240264043139801i</v>
      </c>
      <c r="X393" s="160">
        <f t="shared" si="222"/>
        <v>1.028458463150498</v>
      </c>
      <c r="Y393" s="160">
        <f t="shared" si="223"/>
        <v>-0.23579462833249171</v>
      </c>
      <c r="Z393" s="98" t="str">
        <f t="shared" si="213"/>
        <v>-0.26491106406736-1.64504277979919i</v>
      </c>
      <c r="AA393" s="160">
        <f t="shared" si="224"/>
        <v>1.6662363635555273</v>
      </c>
      <c r="AB393" s="160">
        <f t="shared" si="225"/>
        <v>-1.7304615391329681</v>
      </c>
      <c r="AC393" s="171" t="str">
        <f t="shared" si="226"/>
        <v>0.00132562466239424+0.0000112283693240525i</v>
      </c>
      <c r="AD393" s="190">
        <f t="shared" si="227"/>
        <v>-57.551276921060165</v>
      </c>
      <c r="AE393" s="169">
        <f t="shared" si="228"/>
        <v>0.48529784224856509</v>
      </c>
      <c r="AF393" s="98" t="str">
        <f t="shared" si="214"/>
        <v>-0.0000119284294234592</v>
      </c>
      <c r="AG393" s="98" t="str">
        <f t="shared" si="215"/>
        <v>0.00197942238599676i</v>
      </c>
      <c r="AH393" s="98">
        <f t="shared" si="229"/>
        <v>1.9794223859967599E-3</v>
      </c>
      <c r="AI393" s="98">
        <f t="shared" si="230"/>
        <v>1.5707963267948966</v>
      </c>
      <c r="AJ393" s="98" t="str">
        <f t="shared" si="216"/>
        <v>1+1.70944309306563i</v>
      </c>
      <c r="AK393" s="98">
        <f t="shared" si="231"/>
        <v>1.9804534047610884</v>
      </c>
      <c r="AL393" s="98">
        <f t="shared" si="232"/>
        <v>1.0414898084133157</v>
      </c>
      <c r="AM393" s="98" t="str">
        <f t="shared" si="217"/>
        <v>1+4353.01913453287i</v>
      </c>
      <c r="AN393" s="98">
        <f t="shared" si="233"/>
        <v>4353.0192493956765</v>
      </c>
      <c r="AO393" s="98">
        <f t="shared" si="234"/>
        <v>1.5705666011834294</v>
      </c>
      <c r="AP393" s="168" t="str">
        <f t="shared" si="235"/>
        <v>-6.68552510291074+11.4345509279861i</v>
      </c>
      <c r="AQ393" s="98">
        <f t="shared" si="236"/>
        <v>22.441414929097206</v>
      </c>
      <c r="AR393" s="169">
        <f t="shared" si="237"/>
        <v>120.31386726404521</v>
      </c>
      <c r="AS393" s="168" t="str">
        <f t="shared" si="238"/>
        <v>-0.00899088831834838+0.0150828551685606i</v>
      </c>
      <c r="AT393" s="190">
        <f t="shared" si="239"/>
        <v>-35.109861991962966</v>
      </c>
      <c r="AU393" s="169">
        <f t="shared" si="240"/>
        <v>120.79916510629378</v>
      </c>
      <c r="AV393" s="225"/>
      <c r="AX393">
        <f t="shared" si="241"/>
        <v>0</v>
      </c>
      <c r="AY393">
        <f t="shared" si="242"/>
        <v>0</v>
      </c>
    </row>
    <row r="394" spans="14:51" x14ac:dyDescent="0.2">
      <c r="N394" s="170">
        <v>76</v>
      </c>
      <c r="O394" s="199">
        <f t="shared" si="243"/>
        <v>57543.993733715732</v>
      </c>
      <c r="P394" s="189" t="str">
        <f t="shared" si="209"/>
        <v>771.276595744681</v>
      </c>
      <c r="Q394" s="160" t="str">
        <f t="shared" si="210"/>
        <v>1+368790.767462999i</v>
      </c>
      <c r="R394" s="160">
        <f t="shared" si="218"/>
        <v>368790.76746435469</v>
      </c>
      <c r="S394" s="160">
        <f t="shared" si="219"/>
        <v>1.5707936152302691</v>
      </c>
      <c r="T394" s="160" t="str">
        <f t="shared" si="211"/>
        <v>1+0.086774298226588i</v>
      </c>
      <c r="U394" s="160">
        <f t="shared" si="220"/>
        <v>1.0037578287777968</v>
      </c>
      <c r="V394" s="160">
        <f t="shared" si="221"/>
        <v>8.6557479852169925E-2</v>
      </c>
      <c r="W394" s="98" t="str">
        <f t="shared" si="212"/>
        <v>1-0.245860511641999i</v>
      </c>
      <c r="X394" s="160">
        <f t="shared" si="222"/>
        <v>1.0297802635440561</v>
      </c>
      <c r="Y394" s="160">
        <f t="shared" si="223"/>
        <v>-0.24107889547135683</v>
      </c>
      <c r="Z394" s="98" t="str">
        <f t="shared" si="213"/>
        <v>-0.32452448593037-1.68336074857056i</v>
      </c>
      <c r="AA394" s="160">
        <f t="shared" si="224"/>
        <v>1.7143568916058312</v>
      </c>
      <c r="AB394" s="160">
        <f t="shared" si="225"/>
        <v>-1.7612435900166601</v>
      </c>
      <c r="AC394" s="171" t="str">
        <f t="shared" si="226"/>
        <v>0.00126014934349751+0.0000452948417118598i</v>
      </c>
      <c r="AD394" s="190">
        <f t="shared" si="227"/>
        <v>-57.98595230360435</v>
      </c>
      <c r="AE394" s="169">
        <f t="shared" si="228"/>
        <v>2.0585548042668638</v>
      </c>
      <c r="AF394" s="98" t="str">
        <f t="shared" si="214"/>
        <v>-0.0000119284294234592</v>
      </c>
      <c r="AG394" s="98" t="str">
        <f t="shared" si="215"/>
        <v>0.00202552905635413i</v>
      </c>
      <c r="AH394" s="98">
        <f t="shared" si="229"/>
        <v>2.02552905635413E-3</v>
      </c>
      <c r="AI394" s="98">
        <f t="shared" si="230"/>
        <v>1.5707963267948966</v>
      </c>
      <c r="AJ394" s="98" t="str">
        <f t="shared" si="216"/>
        <v>1+1.7492611378368i</v>
      </c>
      <c r="AK394" s="98">
        <f t="shared" si="231"/>
        <v>2.0149229584145631</v>
      </c>
      <c r="AL394" s="98">
        <f t="shared" si="232"/>
        <v>1.0514682808820865</v>
      </c>
      <c r="AM394" s="98" t="str">
        <f t="shared" si="217"/>
        <v>1+4454.41397563152i</v>
      </c>
      <c r="AN394" s="98">
        <f t="shared" si="233"/>
        <v>4454.4140878797298</v>
      </c>
      <c r="AO394" s="98">
        <f t="shared" si="234"/>
        <v>1.5705718303765863</v>
      </c>
      <c r="AP394" s="168" t="str">
        <f t="shared" si="235"/>
        <v>-6.45874132335685+11.3039142401344i</v>
      </c>
      <c r="AQ394" s="98">
        <f t="shared" si="236"/>
        <v>22.291538591626924</v>
      </c>
      <c r="AR394" s="169">
        <f t="shared" si="237"/>
        <v>119.74244251629524</v>
      </c>
      <c r="AS394" s="168" t="str">
        <f t="shared" si="238"/>
        <v>-0.0086509876446797+0.0139520724427582i</v>
      </c>
      <c r="AT394" s="190">
        <f t="shared" si="239"/>
        <v>-35.694413711977447</v>
      </c>
      <c r="AU394" s="169">
        <f t="shared" si="240"/>
        <v>121.80099732056216</v>
      </c>
      <c r="AV394" s="225"/>
      <c r="AX394">
        <f t="shared" si="241"/>
        <v>0</v>
      </c>
      <c r="AY394">
        <f t="shared" si="242"/>
        <v>0</v>
      </c>
    </row>
    <row r="395" spans="14:51" x14ac:dyDescent="0.2">
      <c r="N395" s="170">
        <v>77</v>
      </c>
      <c r="O395" s="199">
        <f t="shared" si="243"/>
        <v>58884.365535558936</v>
      </c>
      <c r="P395" s="189" t="str">
        <f t="shared" si="209"/>
        <v>771.276595744681</v>
      </c>
      <c r="Q395" s="160" t="str">
        <f t="shared" si="210"/>
        <v>1+377381.007962728i</v>
      </c>
      <c r="R395" s="160">
        <f t="shared" si="218"/>
        <v>377381.00796405284</v>
      </c>
      <c r="S395" s="160">
        <f t="shared" si="219"/>
        <v>1.5707936769530155</v>
      </c>
      <c r="T395" s="160" t="str">
        <f t="shared" si="211"/>
        <v>1+0.0887955312853478i</v>
      </c>
      <c r="U395" s="160">
        <f t="shared" si="220"/>
        <v>1.003934582717543</v>
      </c>
      <c r="V395" s="160">
        <f t="shared" si="221"/>
        <v>8.8563255359274784E-2</v>
      </c>
      <c r="W395" s="98" t="str">
        <f t="shared" si="212"/>
        <v>1-0.251587338641818i</v>
      </c>
      <c r="X395" s="160">
        <f t="shared" si="222"/>
        <v>1.0311625424562672</v>
      </c>
      <c r="Y395" s="160">
        <f t="shared" si="223"/>
        <v>-0.24647207002205299</v>
      </c>
      <c r="Z395" s="98" t="str">
        <f t="shared" si="213"/>
        <v>-0.38694740181013-1.72257125749274i</v>
      </c>
      <c r="AA395" s="160">
        <f t="shared" si="224"/>
        <v>1.7654971053240871</v>
      </c>
      <c r="AB395" s="160">
        <f t="shared" si="225"/>
        <v>-1.7917620074855483</v>
      </c>
      <c r="AC395" s="171" t="str">
        <f t="shared" si="226"/>
        <v>0.001196001121599+0.0000755193792557499i</v>
      </c>
      <c r="AD395" s="190">
        <f t="shared" si="227"/>
        <v>-58.428087072615263</v>
      </c>
      <c r="AE395" s="169">
        <f t="shared" si="228"/>
        <v>3.6130441174751984</v>
      </c>
      <c r="AF395" s="98" t="str">
        <f t="shared" si="214"/>
        <v>-0.0000119284294234592</v>
      </c>
      <c r="AG395" s="98" t="str">
        <f t="shared" si="215"/>
        <v>0.00207270968902823i</v>
      </c>
      <c r="AH395" s="98">
        <f t="shared" si="229"/>
        <v>2.0727096890282301E-3</v>
      </c>
      <c r="AI395" s="98">
        <f t="shared" si="230"/>
        <v>1.5707963267948966</v>
      </c>
      <c r="AJ395" s="98" t="str">
        <f t="shared" si="216"/>
        <v>1+1.79000666401746i</v>
      </c>
      <c r="AK395" s="98">
        <f t="shared" si="231"/>
        <v>2.0503960244857371</v>
      </c>
      <c r="AL395" s="98">
        <f t="shared" si="232"/>
        <v>1.0613308662377436</v>
      </c>
      <c r="AM395" s="98" t="str">
        <f t="shared" si="217"/>
        <v>1+4558.17060598119i</v>
      </c>
      <c r="AN395" s="98">
        <f t="shared" si="233"/>
        <v>4558.1707156743187</v>
      </c>
      <c r="AO395" s="98">
        <f t="shared" si="234"/>
        <v>1.5705769405387866</v>
      </c>
      <c r="AP395" s="168" t="str">
        <f t="shared" si="235"/>
        <v>-6.23719438913533+11.1703745141663i</v>
      </c>
      <c r="AQ395" s="98">
        <f t="shared" si="236"/>
        <v>22.13995246587714</v>
      </c>
      <c r="AR395" s="169">
        <f t="shared" si="237"/>
        <v>119.17765079105538</v>
      </c>
      <c r="AS395" s="168" t="str">
        <f t="shared" si="238"/>
        <v>-0.00830327123440093+0.0128887513990588i</v>
      </c>
      <c r="AT395" s="190">
        <f t="shared" si="239"/>
        <v>-36.28813460673814</v>
      </c>
      <c r="AU395" s="169">
        <f t="shared" si="240"/>
        <v>122.79069490853063</v>
      </c>
      <c r="AV395" s="225"/>
      <c r="AX395">
        <f t="shared" si="241"/>
        <v>0</v>
      </c>
      <c r="AY395">
        <f t="shared" si="242"/>
        <v>0</v>
      </c>
    </row>
    <row r="396" spans="14:51" x14ac:dyDescent="0.2">
      <c r="N396" s="170">
        <v>78</v>
      </c>
      <c r="O396" s="199">
        <f t="shared" si="243"/>
        <v>60255.95860743591</v>
      </c>
      <c r="P396" s="189" t="str">
        <f t="shared" si="209"/>
        <v>771.276595744681</v>
      </c>
      <c r="Q396" s="160" t="str">
        <f t="shared" si="210"/>
        <v>1+386171.340868108i</v>
      </c>
      <c r="R396" s="160">
        <f t="shared" si="218"/>
        <v>386171.34086940269</v>
      </c>
      <c r="S396" s="160">
        <f t="shared" si="219"/>
        <v>1.5707937372707808</v>
      </c>
      <c r="T396" s="160" t="str">
        <f t="shared" si="211"/>
        <v>1+0.0908638449101431i</v>
      </c>
      <c r="U396" s="160">
        <f t="shared" si="220"/>
        <v>1.0041196334659803</v>
      </c>
      <c r="V396" s="160">
        <f t="shared" si="221"/>
        <v>9.061501188759985E-2</v>
      </c>
      <c r="W396" s="98" t="str">
        <f t="shared" si="212"/>
        <v>1-0.257447560578738i</v>
      </c>
      <c r="X396" s="160">
        <f t="shared" si="222"/>
        <v>1.0326079829480028</v>
      </c>
      <c r="Y396" s="160">
        <f t="shared" si="223"/>
        <v>-0.25197575603748612</v>
      </c>
      <c r="Z396" s="98" t="str">
        <f t="shared" si="213"/>
        <v>-0.45231221908042-1.76269509649657i</v>
      </c>
      <c r="AA396" s="160">
        <f t="shared" si="224"/>
        <v>1.8198022823214908</v>
      </c>
      <c r="AB396" s="160">
        <f t="shared" si="225"/>
        <v>-1.8219795224915114</v>
      </c>
      <c r="AC396" s="171" t="str">
        <f t="shared" si="226"/>
        <v>0.00113337185239684+0.000102079866075094i</v>
      </c>
      <c r="AD396" s="190">
        <f t="shared" si="227"/>
        <v>-58.877463108829176</v>
      </c>
      <c r="AE396" s="169">
        <f t="shared" si="228"/>
        <v>5.1465957479486475</v>
      </c>
      <c r="AF396" s="98" t="str">
        <f t="shared" si="214"/>
        <v>-0.0000119284294234592</v>
      </c>
      <c r="AG396" s="98" t="str">
        <f t="shared" si="215"/>
        <v>0.00212098929981501i</v>
      </c>
      <c r="AH396" s="98">
        <f t="shared" si="229"/>
        <v>2.1209892998150098E-3</v>
      </c>
      <c r="AI396" s="98">
        <f t="shared" si="230"/>
        <v>1.5707963267948966</v>
      </c>
      <c r="AJ396" s="98" t="str">
        <f t="shared" si="216"/>
        <v>1+1.83170127542492i</v>
      </c>
      <c r="AK396" s="98">
        <f t="shared" si="231"/>
        <v>2.0868947176111399</v>
      </c>
      <c r="AL396" s="98">
        <f t="shared" si="232"/>
        <v>1.0710751183625076</v>
      </c>
      <c r="AM396" s="98" t="str">
        <f t="shared" si="217"/>
        <v>1+4664.34403872068i</v>
      </c>
      <c r="AN396" s="98">
        <f t="shared" si="233"/>
        <v>4664.344145916888</v>
      </c>
      <c r="AO396" s="98">
        <f t="shared" si="234"/>
        <v>1.5705819343795051</v>
      </c>
      <c r="AP396" s="168" t="str">
        <f t="shared" si="235"/>
        <v>-6.02093172151599+11.0341723067585i</v>
      </c>
      <c r="AQ396" s="98">
        <f t="shared" si="236"/>
        <v>21.986696683668644</v>
      </c>
      <c r="AR396" s="169">
        <f t="shared" si="237"/>
        <v>118.61963239579171</v>
      </c>
      <c r="AS396" s="168" t="str">
        <f t="shared" si="238"/>
        <v>-0.00795032136969289+0.0118912044031972i</v>
      </c>
      <c r="AT396" s="190">
        <f t="shared" si="239"/>
        <v>-36.890766425160514</v>
      </c>
      <c r="AU396" s="169">
        <f t="shared" si="240"/>
        <v>123.76622814374026</v>
      </c>
      <c r="AV396" s="225"/>
      <c r="AX396">
        <f t="shared" si="241"/>
        <v>0</v>
      </c>
      <c r="AY396">
        <f t="shared" si="242"/>
        <v>0</v>
      </c>
    </row>
    <row r="397" spans="14:51" x14ac:dyDescent="0.2">
      <c r="N397" s="170">
        <v>79</v>
      </c>
      <c r="O397" s="199">
        <f t="shared" si="243"/>
        <v>61659.500186148245</v>
      </c>
      <c r="P397" s="189" t="str">
        <f t="shared" si="209"/>
        <v>771.276595744681</v>
      </c>
      <c r="Q397" s="160" t="str">
        <f t="shared" si="210"/>
        <v>1+395166.426929997i</v>
      </c>
      <c r="R397" s="160">
        <f t="shared" si="218"/>
        <v>395166.42693126225</v>
      </c>
      <c r="S397" s="160">
        <f t="shared" si="219"/>
        <v>1.570793796215546</v>
      </c>
      <c r="T397" s="160" t="str">
        <f t="shared" si="211"/>
        <v>1+0.0929803357482345i</v>
      </c>
      <c r="U397" s="160">
        <f t="shared" si="220"/>
        <v>1.0043133688425412</v>
      </c>
      <c r="V397" s="160">
        <f t="shared" si="221"/>
        <v>9.2713768169057298E-2</v>
      </c>
      <c r="W397" s="98" t="str">
        <f t="shared" si="212"/>
        <v>1-0.263444284619998i</v>
      </c>
      <c r="X397" s="160">
        <f t="shared" si="222"/>
        <v>1.0341193795200545</v>
      </c>
      <c r="Y397" s="160">
        <f t="shared" si="223"/>
        <v>-0.25759153740293328</v>
      </c>
      <c r="Z397" s="98" t="str">
        <f t="shared" si="213"/>
        <v>-0.52075758528225-1.80375353977258i</v>
      </c>
      <c r="AA397" s="160">
        <f t="shared" si="224"/>
        <v>1.8774225136796223</v>
      </c>
      <c r="AB397" s="160">
        <f t="shared" si="225"/>
        <v>-1.8518613137154292</v>
      </c>
      <c r="AC397" s="171" t="str">
        <f t="shared" si="226"/>
        <v>0.00107243231547327+0.000125169413122678i</v>
      </c>
      <c r="AD397" s="190">
        <f t="shared" si="227"/>
        <v>-59.33383975882137</v>
      </c>
      <c r="AE397" s="169">
        <f t="shared" si="228"/>
        <v>6.6571821983297266</v>
      </c>
      <c r="AF397" s="98" t="str">
        <f t="shared" si="214"/>
        <v>-0.0000119284294234592</v>
      </c>
      <c r="AG397" s="98" t="str">
        <f t="shared" si="215"/>
        <v>0.00217039348720316i</v>
      </c>
      <c r="AH397" s="98">
        <f t="shared" si="229"/>
        <v>2.1703934872031598E-3</v>
      </c>
      <c r="AI397" s="98">
        <f t="shared" si="230"/>
        <v>1.5707963267948966</v>
      </c>
      <c r="AJ397" s="98" t="str">
        <f t="shared" si="216"/>
        <v>1+1.87436707909404i</v>
      </c>
      <c r="AK397" s="98">
        <f t="shared" si="231"/>
        <v>2.1244415612559275</v>
      </c>
      <c r="AL397" s="98">
        <f t="shared" si="232"/>
        <v>1.0806988012819259</v>
      </c>
      <c r="AM397" s="98" t="str">
        <f t="shared" si="217"/>
        <v>1+4772.99056840937i</v>
      </c>
      <c r="AN397" s="98">
        <f t="shared" si="233"/>
        <v>4772.9906731654946</v>
      </c>
      <c r="AO397" s="98">
        <f t="shared" si="234"/>
        <v>1.5705868145465409</v>
      </c>
      <c r="AP397" s="168" t="str">
        <f t="shared" si="235"/>
        <v>-5.80998757444572+10.895545414983i</v>
      </c>
      <c r="AQ397" s="98">
        <f t="shared" si="236"/>
        <v>21.831811687990538</v>
      </c>
      <c r="AR397" s="169">
        <f t="shared" si="237"/>
        <v>118.06851559411135</v>
      </c>
      <c r="AS397" s="168" t="str">
        <f t="shared" si="238"/>
        <v>-0.00759460745257866+0.010957502262791i</v>
      </c>
      <c r="AT397" s="190">
        <f t="shared" si="239"/>
        <v>-37.502028070830818</v>
      </c>
      <c r="AU397" s="169">
        <f t="shared" si="240"/>
        <v>124.72569779244098</v>
      </c>
      <c r="AV397" s="225"/>
      <c r="AX397">
        <f t="shared" si="241"/>
        <v>0</v>
      </c>
      <c r="AY397">
        <f t="shared" si="242"/>
        <v>0</v>
      </c>
    </row>
    <row r="398" spans="14:51" x14ac:dyDescent="0.2">
      <c r="N398" s="170">
        <v>80</v>
      </c>
      <c r="O398" s="199">
        <f t="shared" si="243"/>
        <v>63095.734448019342</v>
      </c>
      <c r="P398" s="189" t="str">
        <f t="shared" si="209"/>
        <v>771.276595744681</v>
      </c>
      <c r="Q398" s="160" t="str">
        <f t="shared" si="210"/>
        <v>1+404371.03546209i</v>
      </c>
      <c r="R398" s="160">
        <f t="shared" si="218"/>
        <v>404371.03546332644</v>
      </c>
      <c r="S398" s="160">
        <f t="shared" si="219"/>
        <v>1.5707938538185646</v>
      </c>
      <c r="T398" s="160" t="str">
        <f t="shared" si="211"/>
        <v>1+0.0951461259910799i</v>
      </c>
      <c r="U398" s="160">
        <f t="shared" si="220"/>
        <v>1.0045161946385486</v>
      </c>
      <c r="V398" s="160">
        <f t="shared" si="221"/>
        <v>9.4860562994707714E-2</v>
      </c>
      <c r="W398" s="98" t="str">
        <f t="shared" si="212"/>
        <v>1-0.26958069030806i</v>
      </c>
      <c r="X398" s="160">
        <f t="shared" si="222"/>
        <v>1.0356996420714695</v>
      </c>
      <c r="Y398" s="160">
        <f t="shared" si="223"/>
        <v>-0.263320974250424</v>
      </c>
      <c r="Z398" s="98" t="str">
        <f t="shared" si="213"/>
        <v>-0.59242868221399-1.84576835705089i</v>
      </c>
      <c r="AA398" s="160">
        <f t="shared" si="224"/>
        <v>1.9385129794252465</v>
      </c>
      <c r="AB398" s="160">
        <f t="shared" si="225"/>
        <v>-1.8813751950912236</v>
      </c>
      <c r="AC398" s="171" t="str">
        <f t="shared" si="226"/>
        <v>0.00101333094575777+0.000144993060764645i</v>
      </c>
      <c r="AD398" s="190">
        <f t="shared" si="227"/>
        <v>-59.796956628522118</v>
      </c>
      <c r="AE398" s="169">
        <f t="shared" si="228"/>
        <v>8.1429294704449688</v>
      </c>
      <c r="AF398" s="98" t="str">
        <f t="shared" si="214"/>
        <v>-0.0000119284294234592</v>
      </c>
      <c r="AG398" s="98" t="str">
        <f t="shared" si="215"/>
        <v>0.00222094844594678i</v>
      </c>
      <c r="AH398" s="98">
        <f t="shared" si="229"/>
        <v>2.2209484459467799E-3</v>
      </c>
      <c r="AI398" s="98">
        <f t="shared" si="230"/>
        <v>1.5707963267948966</v>
      </c>
      <c r="AJ398" s="98" t="str">
        <f t="shared" si="216"/>
        <v>1+1.91802669699867i</v>
      </c>
      <c r="AK398" s="98">
        <f t="shared" si="231"/>
        <v>2.1630595022790353</v>
      </c>
      <c r="AL398" s="98">
        <f t="shared" si="232"/>
        <v>1.0901998864067253</v>
      </c>
      <c r="AM398" s="98" t="str">
        <f t="shared" si="217"/>
        <v>1+4884.16780087544i</v>
      </c>
      <c r="AN398" s="98">
        <f t="shared" si="233"/>
        <v>4884.1679032470238</v>
      </c>
      <c r="AO398" s="98">
        <f t="shared" si="234"/>
        <v>1.5705915836274225</v>
      </c>
      <c r="AP398" s="168" t="str">
        <f t="shared" si="235"/>
        <v>-5.60438354268545+10.7547281269113i</v>
      </c>
      <c r="AQ398" s="98">
        <f t="shared" si="236"/>
        <v>21.675338134481251</v>
      </c>
      <c r="AR398" s="169">
        <f t="shared" si="237"/>
        <v>117.52441676387252</v>
      </c>
      <c r="AS398" s="168" t="str">
        <f t="shared" si="238"/>
        <v>-0.00723845622451122+0.0100855021006577i</v>
      </c>
      <c r="AT398" s="190">
        <f t="shared" si="239"/>
        <v>-38.121618494040895</v>
      </c>
      <c r="AU398" s="169">
        <f t="shared" si="240"/>
        <v>125.66734623431766</v>
      </c>
      <c r="AV398" s="225"/>
      <c r="AX398">
        <f t="shared" si="241"/>
        <v>0</v>
      </c>
      <c r="AY398">
        <f t="shared" si="242"/>
        <v>0</v>
      </c>
    </row>
    <row r="399" spans="14:51" x14ac:dyDescent="0.2">
      <c r="N399" s="170">
        <v>81</v>
      </c>
      <c r="O399" s="199">
        <f t="shared" si="243"/>
        <v>64565.422903465682</v>
      </c>
      <c r="P399" s="189" t="str">
        <f t="shared" si="209"/>
        <v>771.276595744681</v>
      </c>
      <c r="Q399" s="160" t="str">
        <f t="shared" si="210"/>
        <v>1+413790.04686967i</v>
      </c>
      <c r="R399" s="160">
        <f t="shared" si="218"/>
        <v>413790.04687087832</v>
      </c>
      <c r="S399" s="160">
        <f t="shared" si="219"/>
        <v>1.5707939101103785</v>
      </c>
      <c r="T399" s="160" t="str">
        <f t="shared" si="211"/>
        <v>1+0.097362363969334i</v>
      </c>
      <c r="U399" s="160">
        <f t="shared" si="220"/>
        <v>1.0047285354351676</v>
      </c>
      <c r="V399" s="160">
        <f t="shared" si="221"/>
        <v>9.705645542798895E-2</v>
      </c>
      <c r="W399" s="98" t="str">
        <f t="shared" si="212"/>
        <v>1-0.275860031246446i</v>
      </c>
      <c r="X399" s="160">
        <f t="shared" si="222"/>
        <v>1.0373517999402566</v>
      </c>
      <c r="Y399" s="160">
        <f t="shared" si="223"/>
        <v>-0.26916559916953015</v>
      </c>
      <c r="Z399" s="98" t="str">
        <f t="shared" si="213"/>
        <v>-0.66747753388135-1.88876182514374i</v>
      </c>
      <c r="AA399" s="160">
        <f t="shared" si="224"/>
        <v>2.003234257483792</v>
      </c>
      <c r="AB399" s="160">
        <f t="shared" si="225"/>
        <v>-1.9104917545168818</v>
      </c>
      <c r="AC399" s="171" t="str">
        <f t="shared" si="226"/>
        <v>0.000956193133246223+0.000161764445280064i</v>
      </c>
      <c r="AD399" s="190">
        <f t="shared" si="227"/>
        <v>-60.266536478395608</v>
      </c>
      <c r="AE399" s="169">
        <f t="shared" si="228"/>
        <v>9.6021252421835932</v>
      </c>
      <c r="AF399" s="98" t="str">
        <f t="shared" si="214"/>
        <v>-0.0000119284294234592</v>
      </c>
      <c r="AG399" s="98" t="str">
        <f t="shared" si="215"/>
        <v>0.00227268098095418i</v>
      </c>
      <c r="AH399" s="98">
        <f t="shared" si="229"/>
        <v>2.2726809809541799E-3</v>
      </c>
      <c r="AI399" s="98">
        <f t="shared" si="230"/>
        <v>1.5707963267948966</v>
      </c>
      <c r="AJ399" s="98" t="str">
        <f t="shared" si="216"/>
        <v>1+1.96270327804615i</v>
      </c>
      <c r="AK399" s="98">
        <f t="shared" si="231"/>
        <v>2.2027719259272174</v>
      </c>
      <c r="AL399" s="98">
        <f t="shared" si="232"/>
        <v>1.0995765491436802</v>
      </c>
      <c r="AM399" s="98" t="str">
        <f t="shared" si="217"/>
        <v>1+4997.93468375915i</v>
      </c>
      <c r="AN399" s="98">
        <f t="shared" si="233"/>
        <v>4997.9347838004733</v>
      </c>
      <c r="AO399" s="98">
        <f t="shared" si="234"/>
        <v>1.5705962441507786</v>
      </c>
      <c r="AP399" s="168" t="str">
        <f t="shared" si="235"/>
        <v>-5.40412910948261+10.6119505340183i</v>
      </c>
      <c r="AQ399" s="98">
        <f t="shared" si="236"/>
        <v>21.517316796939859</v>
      </c>
      <c r="AR399" s="169">
        <f t="shared" si="237"/>
        <v>116.9874405914459</v>
      </c>
      <c r="AS399" s="168" t="str">
        <f t="shared" si="238"/>
        <v>-0.00688402743713825+0.00927287828335959i</v>
      </c>
      <c r="AT399" s="190">
        <f t="shared" si="239"/>
        <v>-38.749219681455749</v>
      </c>
      <c r="AU399" s="169">
        <f t="shared" si="240"/>
        <v>126.58956583362951</v>
      </c>
      <c r="AV399" s="225"/>
      <c r="AX399">
        <f t="shared" si="241"/>
        <v>0</v>
      </c>
      <c r="AY399">
        <f t="shared" si="242"/>
        <v>0</v>
      </c>
    </row>
    <row r="400" spans="14:51" x14ac:dyDescent="0.2">
      <c r="N400" s="170">
        <v>82</v>
      </c>
      <c r="O400" s="199">
        <f t="shared" si="243"/>
        <v>66069.344800759733</v>
      </c>
      <c r="P400" s="189" t="str">
        <f t="shared" si="209"/>
        <v>771.276595744681</v>
      </c>
      <c r="Q400" s="160" t="str">
        <f t="shared" si="210"/>
        <v>1+423428.455237258i</v>
      </c>
      <c r="R400" s="160">
        <f t="shared" si="218"/>
        <v>423428.45523843879</v>
      </c>
      <c r="S400" s="160">
        <f t="shared" si="219"/>
        <v>1.5707939651208342</v>
      </c>
      <c r="T400" s="160" t="str">
        <f t="shared" si="211"/>
        <v>1+0.0996302247617078i</v>
      </c>
      <c r="U400" s="160">
        <f t="shared" si="220"/>
        <v>1.0049508354571723</v>
      </c>
      <c r="V400" s="160">
        <f t="shared" si="221"/>
        <v>9.9302525005758743E-2</v>
      </c>
      <c r="W400" s="98" t="str">
        <f t="shared" si="212"/>
        <v>1-0.282285636824838i</v>
      </c>
      <c r="X400" s="160">
        <f t="shared" si="222"/>
        <v>1.039079006022932</v>
      </c>
      <c r="Y400" s="160">
        <f t="shared" si="223"/>
        <v>-0.27512691321086702</v>
      </c>
      <c r="Z400" s="98" t="str">
        <f t="shared" si="213"/>
        <v>-0.74606332896068-1.932756739757i</v>
      </c>
      <c r="AA400" s="160">
        <f t="shared" si="224"/>
        <v>2.0717526652320251</v>
      </c>
      <c r="AB400" s="160">
        <f t="shared" si="225"/>
        <v>-1.9391844444072883</v>
      </c>
      <c r="AC400" s="171" t="str">
        <f t="shared" si="226"/>
        <v>0.000901121063245681+0.00017570253148558i</v>
      </c>
      <c r="AD400" s="190">
        <f t="shared" si="227"/>
        <v>-60.74228815093101</v>
      </c>
      <c r="AE400" s="169">
        <f t="shared" si="228"/>
        <v>11.033224296292914</v>
      </c>
      <c r="AF400" s="98" t="str">
        <f t="shared" si="214"/>
        <v>-0.0000119284294234592</v>
      </c>
      <c r="AG400" s="98" t="str">
        <f t="shared" si="215"/>
        <v>0.00232561852150016i</v>
      </c>
      <c r="AH400" s="98">
        <f t="shared" si="229"/>
        <v>2.3256185215001601E-3</v>
      </c>
      <c r="AI400" s="98">
        <f t="shared" si="230"/>
        <v>1.5707963267948966</v>
      </c>
      <c r="AJ400" s="98" t="str">
        <f t="shared" si="216"/>
        <v>1+2.00842051035109i</v>
      </c>
      <c r="AK400" s="98">
        <f t="shared" si="231"/>
        <v>2.2436026712408177</v>
      </c>
      <c r="AL400" s="98">
        <f t="shared" si="232"/>
        <v>1.108827164930239</v>
      </c>
      <c r="AM400" s="98" t="str">
        <f t="shared" si="217"/>
        <v>1+5114.35153776767i</v>
      </c>
      <c r="AN400" s="98">
        <f t="shared" si="233"/>
        <v>5114.3516355317743</v>
      </c>
      <c r="AO400" s="98">
        <f t="shared" si="234"/>
        <v>1.5706007985876798</v>
      </c>
      <c r="AP400" s="168" t="str">
        <f t="shared" si="235"/>
        <v>-5.20922222698364+10.4674379064199i</v>
      </c>
      <c r="AQ400" s="98">
        <f t="shared" si="236"/>
        <v>21.357788477143917</v>
      </c>
      <c r="AR400" s="169">
        <f t="shared" si="237"/>
        <v>116.4576802989916</v>
      </c>
      <c r="AS400" s="168" t="str">
        <f t="shared" si="238"/>
        <v>-0.00653329521018863+0.00851715524333927i</v>
      </c>
      <c r="AT400" s="190">
        <f t="shared" si="239"/>
        <v>-39.384499673787097</v>
      </c>
      <c r="AU400" s="169">
        <f t="shared" si="240"/>
        <v>127.49090459528455</v>
      </c>
      <c r="AV400" s="225"/>
      <c r="AX400">
        <f t="shared" si="241"/>
        <v>0</v>
      </c>
      <c r="AY400">
        <f t="shared" si="242"/>
        <v>0</v>
      </c>
    </row>
    <row r="401" spans="14:51" x14ac:dyDescent="0.2">
      <c r="N401" s="170">
        <v>83</v>
      </c>
      <c r="O401" s="199">
        <f t="shared" si="243"/>
        <v>67608.297539198305</v>
      </c>
      <c r="P401" s="189" t="str">
        <f t="shared" si="209"/>
        <v>771.276595744681</v>
      </c>
      <c r="Q401" s="160" t="str">
        <f t="shared" si="210"/>
        <v>1+433291.370976551i</v>
      </c>
      <c r="R401" s="160">
        <f t="shared" si="218"/>
        <v>433291.370977705</v>
      </c>
      <c r="S401" s="160">
        <f t="shared" si="219"/>
        <v>1.5707940188790992</v>
      </c>
      <c r="T401" s="160" t="str">
        <f t="shared" si="211"/>
        <v>1+0.101950910818012i</v>
      </c>
      <c r="U401" s="160">
        <f t="shared" si="220"/>
        <v>1.0051835594639529</v>
      </c>
      <c r="V401" s="160">
        <f t="shared" si="221"/>
        <v>0.10159987192576088</v>
      </c>
      <c r="W401" s="98" t="str">
        <f t="shared" si="212"/>
        <v>1-0.288860913984367i</v>
      </c>
      <c r="X401" s="160">
        <f t="shared" si="222"/>
        <v>1.0408845409688261</v>
      </c>
      <c r="Y401" s="160">
        <f t="shared" si="223"/>
        <v>-0.28120638167937057</v>
      </c>
      <c r="Z401" s="98" t="str">
        <f t="shared" si="213"/>
        <v>-0.82835275845952-1.97777642757673i</v>
      </c>
      <c r="AA401" s="160">
        <f t="shared" si="224"/>
        <v>2.1442406324677434</v>
      </c>
      <c r="AB401" s="160">
        <f t="shared" si="225"/>
        <v>-1.9674296260988491</v>
      </c>
      <c r="AC401" s="171" t="str">
        <f t="shared" si="226"/>
        <v>0.000848194051220552+0.00018702850076804i</v>
      </c>
      <c r="AD401" s="190">
        <f t="shared" si="227"/>
        <v>-61.223909466385166</v>
      </c>
      <c r="AE401" s="169">
        <f t="shared" si="228"/>
        <v>12.434851316343218</v>
      </c>
      <c r="AF401" s="98" t="str">
        <f t="shared" si="214"/>
        <v>-0.0000119284294234592</v>
      </c>
      <c r="AG401" s="98" t="str">
        <f t="shared" si="215"/>
        <v>0.00237978913576944i</v>
      </c>
      <c r="AH401" s="98">
        <f t="shared" si="229"/>
        <v>2.3797891357694402E-3</v>
      </c>
      <c r="AI401" s="98">
        <f t="shared" si="230"/>
        <v>1.5707963267948966</v>
      </c>
      <c r="AJ401" s="98" t="str">
        <f t="shared" si="216"/>
        <v>1+2.0552026337952i</v>
      </c>
      <c r="AK401" s="98">
        <f t="shared" si="231"/>
        <v>2.2855760468553057</v>
      </c>
      <c r="AL401" s="98">
        <f t="shared" si="232"/>
        <v>1.1179503047483341</v>
      </c>
      <c r="AM401" s="98" t="str">
        <f t="shared" si="217"/>
        <v>1+5233.48008865795i</v>
      </c>
      <c r="AN401" s="98">
        <f t="shared" si="233"/>
        <v>5233.4801841966701</v>
      </c>
      <c r="AO401" s="98">
        <f t="shared" si="234"/>
        <v>1.5706052493529481</v>
      </c>
      <c r="AP401" s="168" t="str">
        <f t="shared" si="235"/>
        <v>-5.01964992279001+10.3214101312735i</v>
      </c>
      <c r="AQ401" s="98">
        <f t="shared" si="236"/>
        <v>21.196793919198036</v>
      </c>
      <c r="AR401" s="169">
        <f t="shared" si="237"/>
        <v>115.93521790157256</v>
      </c>
      <c r="AS401" s="168" t="str">
        <f t="shared" si="238"/>
        <v>-0.00618803506638433+0.0078157410741139i</v>
      </c>
      <c r="AT401" s="190">
        <f t="shared" si="239"/>
        <v>-40.027115547187115</v>
      </c>
      <c r="AU401" s="169">
        <f t="shared" si="240"/>
        <v>128.37006921791576</v>
      </c>
      <c r="AV401" s="225"/>
      <c r="AX401">
        <f t="shared" si="241"/>
        <v>0</v>
      </c>
      <c r="AY401">
        <f t="shared" si="242"/>
        <v>0</v>
      </c>
    </row>
    <row r="402" spans="14:51" x14ac:dyDescent="0.2">
      <c r="N402" s="170">
        <v>84</v>
      </c>
      <c r="O402" s="199">
        <f t="shared" si="243"/>
        <v>69183.097091893651</v>
      </c>
      <c r="P402" s="189" t="str">
        <f t="shared" si="209"/>
        <v>771.276595744681</v>
      </c>
      <c r="Q402" s="160" t="str">
        <f t="shared" si="210"/>
        <v>1+443384.023536024i</v>
      </c>
      <c r="R402" s="160">
        <f t="shared" si="218"/>
        <v>443384.02353715163</v>
      </c>
      <c r="S402" s="160">
        <f t="shared" si="219"/>
        <v>1.5707940714136766</v>
      </c>
      <c r="T402" s="160" t="str">
        <f t="shared" si="211"/>
        <v>1+0.104325652596712i</v>
      </c>
      <c r="U402" s="160">
        <f t="shared" si="220"/>
        <v>1.0054271936792489</v>
      </c>
      <c r="V402" s="160">
        <f t="shared" si="221"/>
        <v>0.10394961721902395</v>
      </c>
      <c r="W402" s="98" t="str">
        <f t="shared" si="212"/>
        <v>1-0.295589349024016i</v>
      </c>
      <c r="X402" s="160">
        <f t="shared" si="222"/>
        <v>1.0427718174444693</v>
      </c>
      <c r="Y402" s="160">
        <f t="shared" si="223"/>
        <v>-0.28740542971525124</v>
      </c>
      <c r="Z402" s="98" t="str">
        <f t="shared" si="213"/>
        <v>-0.91452036929056-2.02384475863733i</v>
      </c>
      <c r="AA402" s="160">
        <f t="shared" si="224"/>
        <v>2.2208771044141846</v>
      </c>
      <c r="AB402" s="160">
        <f t="shared" si="225"/>
        <v>-1.9952065712506242</v>
      </c>
      <c r="AC402" s="171" t="str">
        <f t="shared" si="226"/>
        <v>0.000797469312517453+0.00019596286802948i</v>
      </c>
      <c r="AD402" s="190">
        <f t="shared" si="227"/>
        <v>-61.711090029919845</v>
      </c>
      <c r="AE402" s="169">
        <f t="shared" si="228"/>
        <v>13.805801230076698</v>
      </c>
      <c r="AF402" s="98" t="str">
        <f t="shared" si="214"/>
        <v>-0.0000119284294234592</v>
      </c>
      <c r="AG402" s="98" t="str">
        <f t="shared" si="215"/>
        <v>0.00243522154573874i</v>
      </c>
      <c r="AH402" s="98">
        <f t="shared" si="229"/>
        <v>2.4352215457387398E-3</v>
      </c>
      <c r="AI402" s="98">
        <f t="shared" si="230"/>
        <v>1.5707963267948966</v>
      </c>
      <c r="AJ402" s="98" t="str">
        <f t="shared" si="216"/>
        <v>1+2.10307445287957i</v>
      </c>
      <c r="AK402" s="98">
        <f t="shared" si="231"/>
        <v>2.3287168471831654</v>
      </c>
      <c r="AL402" s="98">
        <f t="shared" si="232"/>
        <v>1.1269447301726889</v>
      </c>
      <c r="AM402" s="98" t="str">
        <f t="shared" si="217"/>
        <v>1+5355.38349996453i</v>
      </c>
      <c r="AN402" s="98">
        <f t="shared" si="233"/>
        <v>5355.3835933285245</v>
      </c>
      <c r="AO402" s="98">
        <f t="shared" si="234"/>
        <v>1.570609598806437</v>
      </c>
      <c r="AP402" s="168" t="str">
        <f t="shared" si="235"/>
        <v>-4.83538892633172+10.1740812140222i</v>
      </c>
      <c r="AQ402" s="98">
        <f t="shared" si="236"/>
        <v>21.034373728588129</v>
      </c>
      <c r="AR402" s="169">
        <f t="shared" si="237"/>
        <v>115.42012449093997</v>
      </c>
      <c r="AS402" s="168" t="str">
        <f t="shared" si="238"/>
        <v>-0.0058498164171009+0.00716596086920107i</v>
      </c>
      <c r="AT402" s="190">
        <f t="shared" si="239"/>
        <v>-40.676716301331723</v>
      </c>
      <c r="AU402" s="169">
        <f t="shared" si="240"/>
        <v>129.22592572101661</v>
      </c>
      <c r="AV402" s="225"/>
      <c r="AX402">
        <f t="shared" si="241"/>
        <v>0</v>
      </c>
      <c r="AY402">
        <f t="shared" si="242"/>
        <v>0</v>
      </c>
    </row>
    <row r="403" spans="14:51" x14ac:dyDescent="0.2">
      <c r="N403" s="170">
        <v>85</v>
      </c>
      <c r="O403" s="199">
        <f t="shared" si="243"/>
        <v>70794.578438413781</v>
      </c>
      <c r="P403" s="189" t="str">
        <f t="shared" ref="P403:P466" si="244">COMPLEX(Adc,0)</f>
        <v>771.276595744681</v>
      </c>
      <c r="Q403" s="160" t="str">
        <f t="shared" ref="Q403:Q466" si="245">IMSUM(COMPLEX(1,0),IMDIV(COMPLEX(0,2*PI()*O403),COMPLEX(wp_lf,0)))</f>
        <v>1+453711.764173658i</v>
      </c>
      <c r="R403" s="160">
        <f t="shared" si="218"/>
        <v>453711.76417476003</v>
      </c>
      <c r="S403" s="160">
        <f t="shared" si="219"/>
        <v>1.5707941227524209</v>
      </c>
      <c r="T403" s="160" t="str">
        <f t="shared" ref="T403:T466" si="246">IMSUM(COMPLEX(1,0),IMDIV(COMPLEX(0,2*PI()*O403),COMPLEX(wz_esr,0)))</f>
        <v>1+0.106755709217331i</v>
      </c>
      <c r="U403" s="160">
        <f t="shared" si="220"/>
        <v>1.0056822467611206</v>
      </c>
      <c r="V403" s="160">
        <f t="shared" si="221"/>
        <v>0.10635290290559953</v>
      </c>
      <c r="W403" s="98" t="str">
        <f t="shared" ref="W403:W466" si="247">IMSUB(COMPLEX(1,0),IMDIV(COMPLEX(0,2*PI()*O403),COMPLEX(wz_rhp,0)))</f>
        <v>1-0.302474509449105i</v>
      </c>
      <c r="X403" s="160">
        <f t="shared" si="222"/>
        <v>1.0447443844627626</v>
      </c>
      <c r="Y403" s="160">
        <f t="shared" si="223"/>
        <v>-0.29372543766152276</v>
      </c>
      <c r="Z403" s="98" t="str">
        <f t="shared" ref="Z403:Z466" si="248">IF(Dc_Mode_Loop="CCM",IMSUM(COMPLEX(1,0),IMDIV(COMPLEX(0,2*PI()*O403),COMPLEX(Q*(wsl/2),0)),IMDIV(IMPOWER(COMPLEX(0,2*PI()*O403),2),IMPOWER(COMPLEX(wsl/2,0),2))),COMPLEX(1,0))</f>
        <v>-1.00474893450909-2.07098615897771i</v>
      </c>
      <c r="AA403" s="160">
        <f t="shared" si="224"/>
        <v>2.3018479732759074</v>
      </c>
      <c r="AB403" s="160">
        <f t="shared" si="225"/>
        <v>-2.0224974242730478</v>
      </c>
      <c r="AC403" s="171" t="str">
        <f t="shared" si="226"/>
        <v>0.000748983098079275+0.000202722883748428i</v>
      </c>
      <c r="AD403" s="190">
        <f t="shared" si="227"/>
        <v>-62.20351390180614</v>
      </c>
      <c r="AE403" s="169">
        <f t="shared" si="228"/>
        <v>15.145037331074436</v>
      </c>
      <c r="AF403" s="98" t="str">
        <f t="shared" ref="AF403:AF466" si="249">COMPLEX(Adc_ea,0)</f>
        <v>-0.0000119284294234592</v>
      </c>
      <c r="AG403" s="98" t="str">
        <f t="shared" ref="AG403:AG466" si="250">COMPLEX(0,2*PI()*O403*wp0_ea)</f>
        <v>0.00249194514240556i</v>
      </c>
      <c r="AH403" s="98">
        <f t="shared" si="229"/>
        <v>2.4919451424055602E-3</v>
      </c>
      <c r="AI403" s="98">
        <f t="shared" si="230"/>
        <v>1.5707963267948966</v>
      </c>
      <c r="AJ403" s="98" t="str">
        <f t="shared" ref="AJ403:AJ466" si="251">IMSUM(COMPLEX(1,0),IMDIV(COMPLEX(0,2*PI()*O403),COMPLEX(wp1_ea,0)))</f>
        <v>1+2.15206134987635i</v>
      </c>
      <c r="AK403" s="98">
        <f t="shared" si="231"/>
        <v>2.3730503689621965</v>
      </c>
      <c r="AL403" s="98">
        <f t="shared" si="232"/>
        <v>1.1358093880084774</v>
      </c>
      <c r="AM403" s="98" t="str">
        <f t="shared" ref="AM403:AM466" si="252">IMSUM(COMPLEX(1,0),IMDIV(COMPLEX(0,2*PI()*O403),COMPLEX(wz_ea,0)))</f>
        <v>1+5480.12640648967i</v>
      </c>
      <c r="AN403" s="98">
        <f t="shared" si="233"/>
        <v>5480.1264977284409</v>
      </c>
      <c r="AO403" s="98">
        <f t="shared" si="234"/>
        <v>1.5706138492542843</v>
      </c>
      <c r="AP403" s="168" t="str">
        <f t="shared" si="235"/>
        <v>-4.65640630905226+10.0256588415805i</v>
      </c>
      <c r="AQ403" s="98">
        <f t="shared" si="236"/>
        <v>20.870568296069578</v>
      </c>
      <c r="AR403" s="169">
        <f t="shared" si="237"/>
        <v>114.91246054284433</v>
      </c>
      <c r="AS403" s="168" t="str">
        <f t="shared" si="238"/>
        <v>-0.00552000009511297+0.00656508890457739i</v>
      </c>
      <c r="AT403" s="190">
        <f t="shared" si="239"/>
        <v>-41.332945605736562</v>
      </c>
      <c r="AU403" s="169">
        <f t="shared" si="240"/>
        <v>130.05749787391878</v>
      </c>
      <c r="AV403" s="225"/>
      <c r="AX403">
        <f t="shared" si="241"/>
        <v>0</v>
      </c>
      <c r="AY403">
        <f t="shared" si="242"/>
        <v>0</v>
      </c>
    </row>
    <row r="404" spans="14:51" x14ac:dyDescent="0.2">
      <c r="N404" s="170">
        <v>86</v>
      </c>
      <c r="O404" s="199">
        <f t="shared" si="243"/>
        <v>72443.596007499116</v>
      </c>
      <c r="P404" s="189" t="str">
        <f t="shared" si="244"/>
        <v>771.276595744681</v>
      </c>
      <c r="Q404" s="160" t="str">
        <f t="shared" si="245"/>
        <v>1+464280.068794244i</v>
      </c>
      <c r="R404" s="160">
        <f t="shared" ref="R404:R467" si="253">IMABS(Q404)</f>
        <v>464280.06879532093</v>
      </c>
      <c r="S404" s="160">
        <f t="shared" ref="S404:S467" si="254">IMARGUMENT(Q404)</f>
        <v>1.5707941729225527</v>
      </c>
      <c r="T404" s="160" t="str">
        <f t="shared" si="246"/>
        <v>1+0.109242369128057i</v>
      </c>
      <c r="U404" s="160">
        <f t="shared" ref="U404:U467" si="255">IMABS(T404)</f>
        <v>1.0059492508137329</v>
      </c>
      <c r="V404" s="160">
        <f t="shared" ref="V404:V467" si="256">IMARGUMENT(T404)</f>
        <v>0.10881089213194971</v>
      </c>
      <c r="W404" s="98" t="str">
        <f t="shared" si="247"/>
        <v>1-0.309520045862828i</v>
      </c>
      <c r="X404" s="160">
        <f t="shared" ref="X404:X467" si="257">IMABS(W404)</f>
        <v>1.0468059317709884</v>
      </c>
      <c r="Y404" s="160">
        <f t="shared" ref="Y404:Y467" si="258">IMARGUMENT(W404)</f>
        <v>-0.30016773621809478</v>
      </c>
      <c r="Z404" s="98" t="str">
        <f t="shared" si="248"/>
        <v>-1.0992298409991-2.11922562359233i</v>
      </c>
      <c r="AA404" s="160">
        <f t="shared" ref="AA404:AA467" si="259">IMABS(Z404)</f>
        <v>2.3873465368549258</v>
      </c>
      <c r="AB404" s="160">
        <f t="shared" ref="AB404:AB467" si="260">IMARGUMENT(Z404)</f>
        <v>-2.0492871304435161</v>
      </c>
      <c r="AC404" s="171" t="str">
        <f t="shared" ref="AC404:AC467" si="261">(IMDIV(IMPRODUCT(P404,T404,W404),IMPRODUCT(Q404,Z404)))</f>
        <v>0.000702752122590487+0.000207520259778766i</v>
      </c>
      <c r="AD404" s="190">
        <f t="shared" ref="AD404:AD467" si="262">20*LOG(IMABS(AC404))</f>
        <v>-62.700862091645952</v>
      </c>
      <c r="AE404" s="169">
        <f t="shared" ref="AE404:AE467" si="263">(180/PI())*IMARGUMENT(AC404)</f>
        <v>16.451687445604737</v>
      </c>
      <c r="AF404" s="98" t="str">
        <f t="shared" si="249"/>
        <v>-0.0000119284294234592</v>
      </c>
      <c r="AG404" s="98" t="str">
        <f t="shared" si="250"/>
        <v>0.00254999000137168i</v>
      </c>
      <c r="AH404" s="98">
        <f t="shared" ref="AH404:AH467" si="264">IMABS(AG404)</f>
        <v>2.5499900013716799E-3</v>
      </c>
      <c r="AI404" s="98">
        <f t="shared" ref="AI404:AI467" si="265">IMARGUMENT(AG404)</f>
        <v>1.5707963267948966</v>
      </c>
      <c r="AJ404" s="98" t="str">
        <f t="shared" si="251"/>
        <v>1+2.20218929828673i</v>
      </c>
      <c r="AK404" s="98">
        <f t="shared" ref="AK404:AK467" si="266">IMABS(AJ404)</f>
        <v>2.4186024281573442</v>
      </c>
      <c r="AL404" s="98">
        <f t="shared" ref="AL404:AL467" si="267">IMARGUMENT(AJ404)</f>
        <v>1.1445434045721261</v>
      </c>
      <c r="AM404" s="98" t="str">
        <f t="shared" si="252"/>
        <v>1+5607.7749485736i</v>
      </c>
      <c r="AN404" s="98">
        <f t="shared" ref="AN404:AN467" si="268">IMABS(AM404)</f>
        <v>5607.7750377355223</v>
      </c>
      <c r="AO404" s="98">
        <f t="shared" ref="AO404:AO467" si="269">IMARGUMENT(AM404)</f>
        <v>1.5706180029501327</v>
      </c>
      <c r="AP404" s="168" t="str">
        <f t="shared" ref="AP404:AP467" si="270">IMPRODUCT(AF404,IMDIV(AM404,IMPRODUCT(AG404,AJ404)))</f>
        <v>-4.48266013276721+9.87634400603863i</v>
      </c>
      <c r="AQ404" s="98">
        <f t="shared" ref="AQ404:AQ467" si="271">20*LOG(IMABS(AP404))</f>
        <v>20.705417726473122</v>
      </c>
      <c r="AR404" s="169">
        <f t="shared" ref="AR404:AR467" si="272">(180/PI())*IMARGUMENT(AP404)</f>
        <v>114.41227624479137</v>
      </c>
      <c r="AS404" s="168" t="str">
        <f t="shared" ref="AS404:AS467" si="273">IMPRODUCT(AC404,AP404)</f>
        <v>-0.00519974039695151+0.00601037891842571i</v>
      </c>
      <c r="AT404" s="190">
        <f t="shared" ref="AT404:AT467" si="274">20*LOG(IMABS(AS404))</f>
        <v>-41.995444365172823</v>
      </c>
      <c r="AU404" s="169">
        <f t="shared" ref="AU404:AU467" si="275">(180/PI())*IMARGUMENT(AS404)</f>
        <v>130.86396369039613</v>
      </c>
      <c r="AV404" s="225"/>
      <c r="AX404">
        <f t="shared" ref="AX404:AX467" si="276">SUM((AT405&lt;0)*(AT404&gt;0))*O404</f>
        <v>0</v>
      </c>
      <c r="AY404">
        <f t="shared" ref="AY404:AY467" si="277">IF(AX404&gt;0,AU404,0)</f>
        <v>0</v>
      </c>
    </row>
    <row r="405" spans="14:51" x14ac:dyDescent="0.2">
      <c r="N405" s="170">
        <v>87</v>
      </c>
      <c r="O405" s="199">
        <f t="shared" si="243"/>
        <v>74131.024130091857</v>
      </c>
      <c r="P405" s="189" t="str">
        <f t="shared" si="244"/>
        <v>771.276595744681</v>
      </c>
      <c r="Q405" s="160" t="str">
        <f t="shared" si="245"/>
        <v>1+475094.540852776i</v>
      </c>
      <c r="R405" s="160">
        <f t="shared" si="253"/>
        <v>475094.54085382837</v>
      </c>
      <c r="S405" s="160">
        <f t="shared" si="254"/>
        <v>1.570794221950673</v>
      </c>
      <c r="T405" s="160" t="str">
        <f t="shared" si="246"/>
        <v>1+0.111786950788888i</v>
      </c>
      <c r="U405" s="160">
        <f t="shared" si="255"/>
        <v>1.0062287624425557</v>
      </c>
      <c r="V405" s="160">
        <f t="shared" si="256"/>
        <v>0.11132476928815016</v>
      </c>
      <c r="W405" s="98" t="str">
        <f t="shared" si="247"/>
        <v>1-0.31672969390185i</v>
      </c>
      <c r="X405" s="160">
        <f t="shared" si="257"/>
        <v>1.048960294291047</v>
      </c>
      <c r="Y405" s="160">
        <f t="shared" si="258"/>
        <v>-0.30673360138366745</v>
      </c>
      <c r="Z405" s="98" t="str">
        <f t="shared" si="248"/>
        <v>-1.19816349543051-2.16858872968385i</v>
      </c>
      <c r="AA405" s="160">
        <f t="shared" si="259"/>
        <v>2.4775739828094077</v>
      </c>
      <c r="AB405" s="160">
        <f t="shared" si="260"/>
        <v>-2.0755633347458584</v>
      </c>
      <c r="AC405" s="171" t="str">
        <f t="shared" si="261"/>
        <v>0.000658775210897381+0.000210559240699786i</v>
      </c>
      <c r="AD405" s="190">
        <f t="shared" si="262"/>
        <v>-63.202814847047868</v>
      </c>
      <c r="AE405" s="169">
        <f t="shared" si="263"/>
        <v>17.725038433073404</v>
      </c>
      <c r="AF405" s="98" t="str">
        <f t="shared" si="249"/>
        <v>-0.0000119284294234592</v>
      </c>
      <c r="AG405" s="98" t="str">
        <f t="shared" si="250"/>
        <v>0.00260938689878963i</v>
      </c>
      <c r="AH405" s="98">
        <f t="shared" si="264"/>
        <v>2.60938689878963E-3</v>
      </c>
      <c r="AI405" s="98">
        <f t="shared" si="265"/>
        <v>1.5707963267948966</v>
      </c>
      <c r="AJ405" s="98" t="str">
        <f t="shared" si="251"/>
        <v>1+2.25348487661249i</v>
      </c>
      <c r="AK405" s="98">
        <f t="shared" si="266"/>
        <v>2.4653993772046765</v>
      </c>
      <c r="AL405" s="98">
        <f t="shared" si="267"/>
        <v>1.1531460796676269</v>
      </c>
      <c r="AM405" s="98" t="str">
        <f t="shared" si="252"/>
        <v>1+5738.39680716294i</v>
      </c>
      <c r="AN405" s="98">
        <f t="shared" si="268"/>
        <v>5738.3968942952888</v>
      </c>
      <c r="AO405" s="98">
        <f t="shared" si="269"/>
        <v>1.5706220620963263</v>
      </c>
      <c r="AP405" s="168" t="str">
        <f t="shared" si="270"/>
        <v>-4.3141001009589+9.72633068700817i</v>
      </c>
      <c r="AQ405" s="98">
        <f t="shared" si="271"/>
        <v>20.538961772469804</v>
      </c>
      <c r="AR405" s="169">
        <f t="shared" si="272"/>
        <v>113.91961184124217</v>
      </c>
      <c r="AS405" s="168" t="str">
        <f t="shared" si="273"/>
        <v>-0.00488999100809308+0.0054990919080307i</v>
      </c>
      <c r="AT405" s="190">
        <f t="shared" si="274"/>
        <v>-42.663853074578064</v>
      </c>
      <c r="AU405" s="169">
        <f t="shared" si="275"/>
        <v>131.64465027431558</v>
      </c>
      <c r="AV405" s="225"/>
      <c r="AX405">
        <f t="shared" si="276"/>
        <v>0</v>
      </c>
      <c r="AY405">
        <f t="shared" si="277"/>
        <v>0</v>
      </c>
    </row>
    <row r="406" spans="14:51" x14ac:dyDescent="0.2">
      <c r="N406" s="170">
        <v>88</v>
      </c>
      <c r="O406" s="199">
        <f t="shared" si="243"/>
        <v>75857.757502918481</v>
      </c>
      <c r="P406" s="189" t="str">
        <f t="shared" si="244"/>
        <v>771.276595744681</v>
      </c>
      <c r="Q406" s="160" t="str">
        <f t="shared" si="245"/>
        <v>1+486160.914325488i</v>
      </c>
      <c r="R406" s="160">
        <f t="shared" si="253"/>
        <v>486160.91432651639</v>
      </c>
      <c r="S406" s="160">
        <f t="shared" si="254"/>
        <v>1.570794269862777</v>
      </c>
      <c r="T406" s="160" t="str">
        <f t="shared" si="246"/>
        <v>1+0.114390803370703i</v>
      </c>
      <c r="U406" s="160">
        <f t="shared" si="255"/>
        <v>1.0065213638546351</v>
      </c>
      <c r="V406" s="160">
        <f t="shared" si="256"/>
        <v>0.11389574010299991</v>
      </c>
      <c r="W406" s="98" t="str">
        <f t="shared" si="247"/>
        <v>1-0.324107276216991i</v>
      </c>
      <c r="X406" s="160">
        <f t="shared" si="257"/>
        <v>1.0512114566046153</v>
      </c>
      <c r="Y406" s="160">
        <f t="shared" si="258"/>
        <v>-0.31342424918804473</v>
      </c>
      <c r="Z406" s="98" t="str">
        <f t="shared" si="248"/>
        <v>-1.30175974934864-2.2191016502245i</v>
      </c>
      <c r="AA406" s="160">
        <f t="shared" si="259"/>
        <v>2.5727398972794222</v>
      </c>
      <c r="AB406" s="160">
        <f t="shared" si="260"/>
        <v>-2.1013162566175847</v>
      </c>
      <c r="AC406" s="171" t="str">
        <f t="shared" si="261"/>
        <v>0.000617035091384164+0.000212035027318523i</v>
      </c>
      <c r="AD406" s="190">
        <f t="shared" si="262"/>
        <v>-63.709053716428258</v>
      </c>
      <c r="AE406" s="169">
        <f t="shared" si="263"/>
        <v>18.964529316835133</v>
      </c>
      <c r="AF406" s="98" t="str">
        <f t="shared" si="249"/>
        <v>-0.0000119284294234592</v>
      </c>
      <c r="AG406" s="98" t="str">
        <f t="shared" si="250"/>
        <v>0.00267016732768064i</v>
      </c>
      <c r="AH406" s="98">
        <f t="shared" si="264"/>
        <v>2.6701673276806402E-3</v>
      </c>
      <c r="AI406" s="98">
        <f t="shared" si="265"/>
        <v>1.5707963267948966</v>
      </c>
      <c r="AJ406" s="98" t="str">
        <f t="shared" si="251"/>
        <v>1+2.30597528244821i</v>
      </c>
      <c r="AK406" s="98">
        <f t="shared" si="266"/>
        <v>2.5134681225872155</v>
      </c>
      <c r="AL406" s="98">
        <f t="shared" si="267"/>
        <v>1.1616168803088538</v>
      </c>
      <c r="AM406" s="98" t="str">
        <f t="shared" si="252"/>
        <v>1+5872.06123969608i</v>
      </c>
      <c r="AN406" s="98">
        <f t="shared" si="268"/>
        <v>5872.0613248450545</v>
      </c>
      <c r="AO406" s="98">
        <f t="shared" si="269"/>
        <v>1.5706260288450775</v>
      </c>
      <c r="AP406" s="168" t="str">
        <f t="shared" si="270"/>
        <v>-4.15066820819709+9.57580559034573i</v>
      </c>
      <c r="AQ406" s="98">
        <f t="shared" si="271"/>
        <v>20.371239773299756</v>
      </c>
      <c r="AR406" s="169">
        <f t="shared" si="272"/>
        <v>113.43449799336506</v>
      </c>
      <c r="AS406" s="168" t="str">
        <f t="shared" si="273"/>
        <v>-0.00459151413709606+0.00502852103060077i</v>
      </c>
      <c r="AT406" s="190">
        <f t="shared" si="274"/>
        <v>-43.337813943128502</v>
      </c>
      <c r="AU406" s="169">
        <f t="shared" si="275"/>
        <v>132.39902731020018</v>
      </c>
      <c r="AV406" s="225"/>
      <c r="AX406">
        <f t="shared" si="276"/>
        <v>0</v>
      </c>
      <c r="AY406">
        <f t="shared" si="277"/>
        <v>0</v>
      </c>
    </row>
    <row r="407" spans="14:51" x14ac:dyDescent="0.2">
      <c r="N407" s="170">
        <v>89</v>
      </c>
      <c r="O407" s="199">
        <f t="shared" si="243"/>
        <v>77624.711662869129</v>
      </c>
      <c r="P407" s="189" t="str">
        <f t="shared" si="244"/>
        <v>771.276595744681</v>
      </c>
      <c r="Q407" s="160" t="str">
        <f t="shared" si="245"/>
        <v>1+497485.056750075i</v>
      </c>
      <c r="R407" s="160">
        <f t="shared" si="253"/>
        <v>497485.05675108003</v>
      </c>
      <c r="S407" s="160">
        <f t="shared" si="254"/>
        <v>1.5707943166842684</v>
      </c>
      <c r="T407" s="160" t="str">
        <f t="shared" si="246"/>
        <v>1+0.117055307470606i</v>
      </c>
      <c r="U407" s="160">
        <f t="shared" si="255"/>
        <v>1.0068276640056322</v>
      </c>
      <c r="V407" s="160">
        <f t="shared" si="256"/>
        <v>0.11652503171495462</v>
      </c>
      <c r="W407" s="98" t="str">
        <f t="shared" si="247"/>
        <v>1-0.331656704500049i</v>
      </c>
      <c r="X407" s="160">
        <f t="shared" si="257"/>
        <v>1.053563557475216</v>
      </c>
      <c r="Y407" s="160">
        <f t="shared" si="258"/>
        <v>-0.32024083021900601</v>
      </c>
      <c r="Z407" s="98" t="str">
        <f t="shared" si="248"/>
        <v>-1.41023834429743-2.27079116783338i</v>
      </c>
      <c r="AA407" s="160">
        <f t="shared" si="259"/>
        <v>2.6730627968001128</v>
      </c>
      <c r="AB407" s="160">
        <f t="shared" si="260"/>
        <v>-2.1265385457347916</v>
      </c>
      <c r="AC407" s="171" t="str">
        <f t="shared" si="261"/>
        <v>0.000577500270509445+0.0002121325458704i</v>
      </c>
      <c r="AD407" s="190">
        <f t="shared" si="262"/>
        <v>-64.219263374216695</v>
      </c>
      <c r="AE407" s="169">
        <f t="shared" si="263"/>
        <v>20.169743338927251</v>
      </c>
      <c r="AF407" s="98" t="str">
        <f t="shared" si="249"/>
        <v>-0.0000119284294234592</v>
      </c>
      <c r="AG407" s="98" t="str">
        <f t="shared" si="250"/>
        <v>0.00273236351463262i</v>
      </c>
      <c r="AH407" s="98">
        <f t="shared" si="264"/>
        <v>2.7323635146326202E-3</v>
      </c>
      <c r="AI407" s="98">
        <f t="shared" si="265"/>
        <v>1.5707963267948966</v>
      </c>
      <c r="AJ407" s="98" t="str">
        <f t="shared" si="251"/>
        <v>1+2.35968834690188i</v>
      </c>
      <c r="AK407" s="98">
        <f t="shared" si="266"/>
        <v>2.5628361427341635</v>
      </c>
      <c r="AL407" s="98">
        <f t="shared" si="267"/>
        <v>1.1699554342363145</v>
      </c>
      <c r="AM407" s="98" t="str">
        <f t="shared" si="252"/>
        <v>1+6008.83911682443i</v>
      </c>
      <c r="AN407" s="98">
        <f t="shared" si="268"/>
        <v>6008.8392000351769</v>
      </c>
      <c r="AO407" s="98">
        <f t="shared" si="269"/>
        <v>1.5706299052996084</v>
      </c>
      <c r="AP407" s="168" t="str">
        <f t="shared" si="270"/>
        <v>-3.99229938331528+9.42494794066687i</v>
      </c>
      <c r="AQ407" s="98">
        <f t="shared" si="271"/>
        <v>20.202290598432594</v>
      </c>
      <c r="AR407" s="169">
        <f t="shared" si="272"/>
        <v>112.95695615056334</v>
      </c>
      <c r="AS407" s="168" t="str">
        <f t="shared" si="273"/>
        <v>-0.00430489217516891+0.00459601335321306i</v>
      </c>
      <c r="AT407" s="190">
        <f t="shared" si="274"/>
        <v>-44.016972775784104</v>
      </c>
      <c r="AU407" s="169">
        <f t="shared" si="275"/>
        <v>133.12669948949056</v>
      </c>
      <c r="AV407" s="225"/>
      <c r="AX407">
        <f t="shared" si="276"/>
        <v>0</v>
      </c>
      <c r="AY407">
        <f t="shared" si="277"/>
        <v>0</v>
      </c>
    </row>
    <row r="408" spans="14:51" x14ac:dyDescent="0.2">
      <c r="N408" s="170">
        <v>90</v>
      </c>
      <c r="O408" s="199">
        <f t="shared" si="243"/>
        <v>79432.823472428237</v>
      </c>
      <c r="P408" s="189" t="str">
        <f t="shared" si="244"/>
        <v>771.276595744681</v>
      </c>
      <c r="Q408" s="160" t="str">
        <f t="shared" si="245"/>
        <v>1+509072.972336746i</v>
      </c>
      <c r="R408" s="160">
        <f t="shared" si="253"/>
        <v>509072.97233772819</v>
      </c>
      <c r="S408" s="160">
        <f t="shared" si="254"/>
        <v>1.5707943624399725</v>
      </c>
      <c r="T408" s="160" t="str">
        <f t="shared" si="246"/>
        <v>1+0.11978187584394i</v>
      </c>
      <c r="U408" s="160">
        <f t="shared" si="255"/>
        <v>1.0071482997953642</v>
      </c>
      <c r="V408" s="160">
        <f t="shared" si="256"/>
        <v>0.11921389271670899</v>
      </c>
      <c r="W408" s="98" t="str">
        <f t="shared" si="247"/>
        <v>1-0.33938198155783i</v>
      </c>
      <c r="X408" s="160">
        <f t="shared" si="257"/>
        <v>1.0560208943984579</v>
      </c>
      <c r="Y408" s="160">
        <f t="shared" si="258"/>
        <v>-0.32718442394953784</v>
      </c>
      <c r="Z408" s="98" t="str">
        <f t="shared" si="248"/>
        <v>-1.52382937792078-2.32368468897694i</v>
      </c>
      <c r="AA408" s="160">
        <f t="shared" si="259"/>
        <v>2.7787706826581227</v>
      </c>
      <c r="AB408" s="160">
        <f t="shared" si="260"/>
        <v>-2.1512251237453013</v>
      </c>
      <c r="AC408" s="171" t="str">
        <f t="shared" si="261"/>
        <v>0.000540126930135206+0.00021102554587984i</v>
      </c>
      <c r="AD408" s="190">
        <f t="shared" si="262"/>
        <v>-64.733133204456863</v>
      </c>
      <c r="AE408" s="169">
        <f t="shared" si="263"/>
        <v>21.340399219625844</v>
      </c>
      <c r="AF408" s="98" t="str">
        <f t="shared" si="249"/>
        <v>-0.0000119284294234592</v>
      </c>
      <c r="AG408" s="98" t="str">
        <f t="shared" si="250"/>
        <v>0.00279600843688717i</v>
      </c>
      <c r="AH408" s="98">
        <f t="shared" si="264"/>
        <v>2.7960084368871701E-3</v>
      </c>
      <c r="AI408" s="98">
        <f t="shared" si="265"/>
        <v>1.5707963267948966</v>
      </c>
      <c r="AJ408" s="98" t="str">
        <f t="shared" si="251"/>
        <v>1+2.41465254935126i</v>
      </c>
      <c r="AK408" s="98">
        <f t="shared" si="266"/>
        <v>2.613531506236062</v>
      </c>
      <c r="AL408" s="98">
        <f t="shared" si="267"/>
        <v>1.1781615232742937</v>
      </c>
      <c r="AM408" s="98" t="str">
        <f t="shared" si="252"/>
        <v>1+6148.80295998893i</v>
      </c>
      <c r="AN408" s="98">
        <f t="shared" si="268"/>
        <v>6148.8030413055694</v>
      </c>
      <c r="AO408" s="98">
        <f t="shared" si="269"/>
        <v>1.5706336935152663</v>
      </c>
      <c r="AP408" s="168" t="str">
        <f t="shared" si="270"/>
        <v>-3.83892212242367+9.27392932480349i</v>
      </c>
      <c r="AQ408" s="98">
        <f t="shared" si="271"/>
        <v>20.032152596097376</v>
      </c>
      <c r="AR408" s="169">
        <f t="shared" si="272"/>
        <v>112.48699893114768</v>
      </c>
      <c r="AS408" s="168" t="str">
        <f t="shared" si="273"/>
        <v>-0.00403054121923054+0.00419898834002232i</v>
      </c>
      <c r="AT408" s="190">
        <f t="shared" si="274"/>
        <v>-44.700980608359487</v>
      </c>
      <c r="AU408" s="169">
        <f t="shared" si="275"/>
        <v>133.82739815077358</v>
      </c>
      <c r="AV408" s="225"/>
      <c r="AX408">
        <f t="shared" si="276"/>
        <v>0</v>
      </c>
      <c r="AY408">
        <f t="shared" si="277"/>
        <v>0</v>
      </c>
    </row>
    <row r="409" spans="14:51" x14ac:dyDescent="0.2">
      <c r="N409" s="170">
        <v>91</v>
      </c>
      <c r="O409" s="199">
        <f t="shared" si="243"/>
        <v>81283.051616410012</v>
      </c>
      <c r="P409" s="189" t="str">
        <f t="shared" si="244"/>
        <v>771.276595744681</v>
      </c>
      <c r="Q409" s="160" t="str">
        <f t="shared" si="245"/>
        <v>1+520930.805151726i</v>
      </c>
      <c r="R409" s="160">
        <f t="shared" si="253"/>
        <v>520930.80515268585</v>
      </c>
      <c r="S409" s="160">
        <f t="shared" si="254"/>
        <v>1.5707944071541495</v>
      </c>
      <c r="T409" s="160" t="str">
        <f t="shared" si="246"/>
        <v>1+0.122571954153347i</v>
      </c>
      <c r="U409" s="160">
        <f t="shared" si="255"/>
        <v>1.007483937313628</v>
      </c>
      <c r="V409" s="160">
        <f t="shared" si="256"/>
        <v>0.12196359317108618</v>
      </c>
      <c r="W409" s="98" t="str">
        <f t="shared" si="247"/>
        <v>1-0.347287203434483i</v>
      </c>
      <c r="X409" s="160">
        <f t="shared" si="257"/>
        <v>1.0585879281709876</v>
      </c>
      <c r="Y409" s="160">
        <f t="shared" si="258"/>
        <v>-0.33425603287305639</v>
      </c>
      <c r="Z409" s="98" t="str">
        <f t="shared" si="248"/>
        <v>-1.64277379203039-2.37781025850018i</v>
      </c>
      <c r="AA409" s="160">
        <f t="shared" si="259"/>
        <v>2.8901016171080558</v>
      </c>
      <c r="AB409" s="160">
        <f t="shared" si="260"/>
        <v>-2.1753730165129759</v>
      </c>
      <c r="AC409" s="171" t="str">
        <f t="shared" si="261"/>
        <v>0.000504860797864387+0.000208876001619586i</v>
      </c>
      <c r="AD409" s="190">
        <f t="shared" si="262"/>
        <v>-65.25035864543419</v>
      </c>
      <c r="AE409" s="169">
        <f t="shared" si="263"/>
        <v>22.476341882690843</v>
      </c>
      <c r="AF409" s="98" t="str">
        <f t="shared" si="249"/>
        <v>-0.0000119284294234592</v>
      </c>
      <c r="AG409" s="98" t="str">
        <f t="shared" si="250"/>
        <v>0.00286113583982451i</v>
      </c>
      <c r="AH409" s="98">
        <f t="shared" si="264"/>
        <v>2.8611358398245102E-3</v>
      </c>
      <c r="AI409" s="98">
        <f t="shared" si="265"/>
        <v>1.5707963267948966</v>
      </c>
      <c r="AJ409" s="98" t="str">
        <f t="shared" si="251"/>
        <v>1+2.470897032544i</v>
      </c>
      <c r="AK409" s="98">
        <f t="shared" si="266"/>
        <v>2.6655828903702741</v>
      </c>
      <c r="AL409" s="98">
        <f t="shared" si="267"/>
        <v>1.1862350765718215</v>
      </c>
      <c r="AM409" s="98" t="str">
        <f t="shared" si="252"/>
        <v>1+6292.02697987182i</v>
      </c>
      <c r="AN409" s="98">
        <f t="shared" si="268"/>
        <v>6292.0270593374671</v>
      </c>
      <c r="AO409" s="98">
        <f t="shared" si="269"/>
        <v>1.5706373955006128</v>
      </c>
      <c r="AP409" s="168" t="str">
        <f t="shared" si="270"/>
        <v>-3.69045910828721+9.12291358315643i</v>
      </c>
      <c r="AQ409" s="98">
        <f t="shared" si="271"/>
        <v>19.860863546590728</v>
      </c>
      <c r="AR409" s="169">
        <f t="shared" si="272"/>
        <v>112.02463050966151</v>
      </c>
      <c r="AS409" s="168" t="str">
        <f t="shared" si="273"/>
        <v>-0.0037687258422665+0.00383495308776059i</v>
      </c>
      <c r="AT409" s="190">
        <f t="shared" si="274"/>
        <v>-45.389495098843469</v>
      </c>
      <c r="AU409" s="169">
        <f t="shared" si="275"/>
        <v>134.50097239235239</v>
      </c>
      <c r="AV409" s="225"/>
      <c r="AX409">
        <f t="shared" si="276"/>
        <v>0</v>
      </c>
      <c r="AY409">
        <f t="shared" si="277"/>
        <v>0</v>
      </c>
    </row>
    <row r="410" spans="14:51" x14ac:dyDescent="0.2">
      <c r="N410" s="170">
        <v>92</v>
      </c>
      <c r="O410" s="199">
        <f t="shared" si="243"/>
        <v>83176.377110267174</v>
      </c>
      <c r="P410" s="189" t="str">
        <f t="shared" si="244"/>
        <v>771.276595744681</v>
      </c>
      <c r="Q410" s="160" t="str">
        <f t="shared" si="245"/>
        <v>1+533064.842374932i</v>
      </c>
      <c r="R410" s="160">
        <f t="shared" si="253"/>
        <v>533064.84237586998</v>
      </c>
      <c r="S410" s="160">
        <f t="shared" si="254"/>
        <v>1.5707944508505076</v>
      </c>
      <c r="T410" s="160" t="str">
        <f t="shared" si="246"/>
        <v>1+0.125427021735278i</v>
      </c>
      <c r="U410" s="160">
        <f t="shared" si="255"/>
        <v>1.0078352731381164</v>
      </c>
      <c r="V410" s="160">
        <f t="shared" si="256"/>
        <v>0.12477542459576726</v>
      </c>
      <c r="W410" s="98" t="str">
        <f t="shared" si="247"/>
        <v>1-0.355376561583288i</v>
      </c>
      <c r="X410" s="160">
        <f t="shared" si="257"/>
        <v>1.0612692874679641</v>
      </c>
      <c r="Y410" s="160">
        <f t="shared" si="258"/>
        <v>-0.34145657645624122</v>
      </c>
      <c r="Z410" s="98" t="str">
        <f t="shared" si="248"/>
        <v>-1.76732388367576-2.43319657449652i</v>
      </c>
      <c r="AA410" s="160">
        <f t="shared" si="259"/>
        <v>3.0073043211408401</v>
      </c>
      <c r="AB410" s="160">
        <f t="shared" si="260"/>
        <v>-2.1989811809981217</v>
      </c>
      <c r="AC410" s="171" t="str">
        <f t="shared" si="261"/>
        <v>0.000471638949678796+0.000205833786558868i</v>
      </c>
      <c r="AD410" s="190">
        <f t="shared" si="262"/>
        <v>-65.770642303447971</v>
      </c>
      <c r="AE410" s="169">
        <f t="shared" si="263"/>
        <v>23.577532881943394</v>
      </c>
      <c r="AF410" s="98" t="str">
        <f t="shared" si="249"/>
        <v>-0.0000119284294234592</v>
      </c>
      <c r="AG410" s="98" t="str">
        <f t="shared" si="250"/>
        <v>0.00292778025485573i</v>
      </c>
      <c r="AH410" s="98">
        <f t="shared" si="264"/>
        <v>2.9277802548557299E-3</v>
      </c>
      <c r="AI410" s="98">
        <f t="shared" si="265"/>
        <v>1.5707963267948966</v>
      </c>
      <c r="AJ410" s="98" t="str">
        <f t="shared" si="251"/>
        <v>1+2.52845161804959i</v>
      </c>
      <c r="AK410" s="98">
        <f t="shared" si="266"/>
        <v>2.7190195999325919</v>
      </c>
      <c r="AL410" s="98">
        <f t="shared" si="267"/>
        <v>1.1941761637681436</v>
      </c>
      <c r="AM410" s="98" t="str">
        <f t="shared" si="252"/>
        <v>1+6438.58711574428i</v>
      </c>
      <c r="AN410" s="98">
        <f t="shared" si="268"/>
        <v>6438.5871934010684</v>
      </c>
      <c r="AO410" s="98">
        <f t="shared" si="269"/>
        <v>1.5706410132184889</v>
      </c>
      <c r="AP410" s="168" t="str">
        <f t="shared" si="270"/>
        <v>-3.54682781304138+8.97205674574925i</v>
      </c>
      <c r="AQ410" s="98">
        <f t="shared" si="271"/>
        <v>19.688460620247138</v>
      </c>
      <c r="AR410" s="169">
        <f t="shared" si="272"/>
        <v>111.56984700853276</v>
      </c>
      <c r="AS410" s="168" t="str">
        <f t="shared" si="273"/>
        <v>-0.00351957455763298+0.00350151442099312i</v>
      </c>
      <c r="AT410" s="190">
        <f t="shared" si="274"/>
        <v>-46.08218168320083</v>
      </c>
      <c r="AU410" s="169">
        <f t="shared" si="275"/>
        <v>135.14737989047612</v>
      </c>
      <c r="AV410" s="225"/>
      <c r="AX410">
        <f t="shared" si="276"/>
        <v>0</v>
      </c>
      <c r="AY410">
        <f t="shared" si="277"/>
        <v>0</v>
      </c>
    </row>
    <row r="411" spans="14:51" x14ac:dyDescent="0.2">
      <c r="N411" s="170">
        <v>93</v>
      </c>
      <c r="O411" s="199">
        <f t="shared" si="243"/>
        <v>85113.803820237721</v>
      </c>
      <c r="P411" s="189" t="str">
        <f t="shared" si="244"/>
        <v>771.276595744681</v>
      </c>
      <c r="Q411" s="160" t="str">
        <f t="shared" si="245"/>
        <v>1+545481.517633513i</v>
      </c>
      <c r="R411" s="160">
        <f t="shared" si="253"/>
        <v>545481.51763442962</v>
      </c>
      <c r="S411" s="160">
        <f t="shared" si="254"/>
        <v>1.5707944935522153</v>
      </c>
      <c r="T411" s="160" t="str">
        <f t="shared" si="246"/>
        <v>1+0.128348592384356i</v>
      </c>
      <c r="U411" s="160">
        <f t="shared" si="255"/>
        <v>1.0082030356862874</v>
      </c>
      <c r="V411" s="160">
        <f t="shared" si="256"/>
        <v>0.12765069991423231</v>
      </c>
      <c r="W411" s="98" t="str">
        <f t="shared" si="247"/>
        <v>1-0.363654345089008i</v>
      </c>
      <c r="X411" s="160">
        <f t="shared" si="257"/>
        <v>1.0640697734181324</v>
      </c>
      <c r="Y411" s="160">
        <f t="shared" si="258"/>
        <v>-0.34878688492116777</v>
      </c>
      <c r="Z411" s="98" t="str">
        <f t="shared" si="248"/>
        <v>-1.89774384029997-2.48987300352383i</v>
      </c>
      <c r="AA411" s="160">
        <f t="shared" si="259"/>
        <v>3.130638793772488</v>
      </c>
      <c r="AB411" s="160">
        <f t="shared" si="260"/>
        <v>-2.2220503304040031</v>
      </c>
      <c r="AC411" s="171" t="str">
        <f t="shared" si="261"/>
        <v>0.000440391513184773+0.00020203658689618i</v>
      </c>
      <c r="AD411" s="190">
        <f t="shared" si="262"/>
        <v>-66.293694848157628</v>
      </c>
      <c r="AE411" s="169">
        <f t="shared" si="263"/>
        <v>24.644040736346348</v>
      </c>
      <c r="AF411" s="98" t="str">
        <f t="shared" si="249"/>
        <v>-0.0000119284294234592</v>
      </c>
      <c r="AG411" s="98" t="str">
        <f t="shared" si="250"/>
        <v>0.00299597701773183i</v>
      </c>
      <c r="AH411" s="98">
        <f t="shared" si="264"/>
        <v>2.9959770177318298E-3</v>
      </c>
      <c r="AI411" s="98">
        <f t="shared" si="265"/>
        <v>1.5707963267948966</v>
      </c>
      <c r="AJ411" s="98" t="str">
        <f t="shared" si="251"/>
        <v>1+2.58734682207107i</v>
      </c>
      <c r="AK411" s="98">
        <f t="shared" si="266"/>
        <v>2.7738715863718828</v>
      </c>
      <c r="AL411" s="98">
        <f t="shared" si="267"/>
        <v>1.2019849881204638</v>
      </c>
      <c r="AM411" s="98" t="str">
        <f t="shared" si="252"/>
        <v>1+6588.56107573027i</v>
      </c>
      <c r="AN411" s="98">
        <f t="shared" si="268"/>
        <v>6588.561151619374</v>
      </c>
      <c r="AO411" s="98">
        <f t="shared" si="269"/>
        <v>1.5706445485870562</v>
      </c>
      <c r="AP411" s="168" t="str">
        <f t="shared" si="270"/>
        <v>-3.40794108164925+8.82150700969599i</v>
      </c>
      <c r="AQ411" s="98">
        <f t="shared" si="271"/>
        <v>19.514980339934521</v>
      </c>
      <c r="AR411" s="169">
        <f t="shared" si="272"/>
        <v>111.12263689188374</v>
      </c>
      <c r="AS411" s="168" t="str">
        <f t="shared" si="273"/>
        <v>-0.00328309549731177+0.00319638803609041i</v>
      </c>
      <c r="AT411" s="190">
        <f t="shared" si="274"/>
        <v>-46.778714508223104</v>
      </c>
      <c r="AU411" s="169">
        <f t="shared" si="275"/>
        <v>135.76667762823007</v>
      </c>
      <c r="AV411" s="225"/>
      <c r="AX411">
        <f t="shared" si="276"/>
        <v>0</v>
      </c>
      <c r="AY411">
        <f t="shared" si="277"/>
        <v>0</v>
      </c>
    </row>
    <row r="412" spans="14:51" x14ac:dyDescent="0.2">
      <c r="N412" s="170">
        <v>94</v>
      </c>
      <c r="O412" s="199">
        <f t="shared" si="243"/>
        <v>87096.358995608127</v>
      </c>
      <c r="P412" s="189" t="str">
        <f t="shared" si="244"/>
        <v>771.276595744681</v>
      </c>
      <c r="Q412" s="160" t="str">
        <f t="shared" si="245"/>
        <v>1+558187.414413045i</v>
      </c>
      <c r="R412" s="160">
        <f t="shared" si="253"/>
        <v>558187.41441394074</v>
      </c>
      <c r="S412" s="160">
        <f t="shared" si="254"/>
        <v>1.5707945352819135</v>
      </c>
      <c r="T412" s="160" t="str">
        <f t="shared" si="246"/>
        <v>1+0.13133821515601i</v>
      </c>
      <c r="U412" s="160">
        <f t="shared" si="255"/>
        <v>1.0085879866230643</v>
      </c>
      <c r="V412" s="160">
        <f t="shared" si="256"/>
        <v>0.13059075337013465</v>
      </c>
      <c r="W412" s="98" t="str">
        <f t="shared" si="247"/>
        <v>1-0.372124942942029i</v>
      </c>
      <c r="X412" s="160">
        <f t="shared" si="257"/>
        <v>1.066994364164876</v>
      </c>
      <c r="Y412" s="160">
        <f t="shared" si="258"/>
        <v>-0.35624769287076891</v>
      </c>
      <c r="Z412" s="98" t="str">
        <f t="shared" si="248"/>
        <v>-2.03431030011675-2.54786959617497i</v>
      </c>
      <c r="AA412" s="160">
        <f t="shared" si="259"/>
        <v>3.2603769530951334</v>
      </c>
      <c r="AB412" s="160">
        <f t="shared" si="260"/>
        <v>-2.2445827606985636</v>
      </c>
      <c r="AC412" s="171" t="str">
        <f t="shared" si="261"/>
        <v>0.000411043248302841+0.000197610018926625i</v>
      </c>
      <c r="AD412" s="190">
        <f t="shared" si="262"/>
        <v>-66.819235705136848</v>
      </c>
      <c r="AE412" s="169">
        <f t="shared" si="263"/>
        <v>25.676031350757981</v>
      </c>
      <c r="AF412" s="98" t="str">
        <f t="shared" si="249"/>
        <v>-0.0000119284294234592</v>
      </c>
      <c r="AG412" s="98" t="str">
        <f t="shared" si="250"/>
        <v>0.00306576228727917i</v>
      </c>
      <c r="AH412" s="98">
        <f t="shared" si="264"/>
        <v>3.0657622872791702E-3</v>
      </c>
      <c r="AI412" s="98">
        <f t="shared" si="265"/>
        <v>1.5707963267948966</v>
      </c>
      <c r="AJ412" s="98" t="str">
        <f t="shared" si="251"/>
        <v>1+2.64761387162521i</v>
      </c>
      <c r="AK412" s="98">
        <f t="shared" si="266"/>
        <v>2.8301694672266948</v>
      </c>
      <c r="AL412" s="98">
        <f t="shared" si="267"/>
        <v>1.209661879628914</v>
      </c>
      <c r="AM412" s="98" t="str">
        <f t="shared" si="252"/>
        <v>1+6742.02837800854i</v>
      </c>
      <c r="AN412" s="98">
        <f t="shared" si="268"/>
        <v>6742.0284521701969</v>
      </c>
      <c r="AO412" s="98">
        <f t="shared" si="269"/>
        <v>1.5706480034808137</v>
      </c>
      <c r="AP412" s="168" t="str">
        <f t="shared" si="270"/>
        <v>-3.27370769391802+8.67140475474734i</v>
      </c>
      <c r="AQ412" s="98">
        <f t="shared" si="271"/>
        <v>19.340458547919223</v>
      </c>
      <c r="AR412" s="169">
        <f t="shared" si="272"/>
        <v>110.68298135950072</v>
      </c>
      <c r="AS412" s="168" t="str">
        <f t="shared" si="273"/>
        <v>-0.00305919190220811+0.00291740493838467i</v>
      </c>
      <c r="AT412" s="190">
        <f t="shared" si="274"/>
        <v>-47.478777157217628</v>
      </c>
      <c r="AU412" s="169">
        <f t="shared" si="275"/>
        <v>136.35901271025864</v>
      </c>
      <c r="AV412" s="225"/>
      <c r="AX412">
        <f t="shared" si="276"/>
        <v>0</v>
      </c>
      <c r="AY412">
        <f t="shared" si="277"/>
        <v>0</v>
      </c>
    </row>
    <row r="413" spans="14:51" x14ac:dyDescent="0.2">
      <c r="N413" s="170">
        <v>95</v>
      </c>
      <c r="O413" s="199">
        <f t="shared" si="243"/>
        <v>89125.093813374609</v>
      </c>
      <c r="P413" s="189" t="str">
        <f t="shared" si="244"/>
        <v>771.276595744681</v>
      </c>
      <c r="Q413" s="160" t="str">
        <f t="shared" si="245"/>
        <v>1+571189.269548182i</v>
      </c>
      <c r="R413" s="160">
        <f t="shared" si="253"/>
        <v>571189.26954905735</v>
      </c>
      <c r="S413" s="160">
        <f t="shared" si="254"/>
        <v>1.5707945760617277</v>
      </c>
      <c r="T413" s="160" t="str">
        <f t="shared" si="246"/>
        <v>1+0.134397475187807i</v>
      </c>
      <c r="U413" s="160">
        <f t="shared" si="255"/>
        <v>1.0089909223262898</v>
      </c>
      <c r="V413" s="160">
        <f t="shared" si="256"/>
        <v>0.13359694040216602</v>
      </c>
      <c r="W413" s="98" t="str">
        <f t="shared" si="247"/>
        <v>1-0.380792846365454i</v>
      </c>
      <c r="X413" s="160">
        <f t="shared" si="257"/>
        <v>1.0700482194009315</v>
      </c>
      <c r="Y413" s="160">
        <f t="shared" si="258"/>
        <v>-0.36383963277398484</v>
      </c>
      <c r="Z413" s="98" t="str">
        <f t="shared" si="248"/>
        <v>-2.17731293889714-2.60721710301104i</v>
      </c>
      <c r="AA413" s="160">
        <f t="shared" si="259"/>
        <v>3.3968032995924538</v>
      </c>
      <c r="AB413" s="160">
        <f t="shared" si="260"/>
        <v>-2.2665821810979532</v>
      </c>
      <c r="AC413" s="171" t="str">
        <f t="shared" si="261"/>
        <v>0.000383514989979115+0.000192667915248253i</v>
      </c>
      <c r="AD413" s="190">
        <f t="shared" si="262"/>
        <v>-67.346993563439497</v>
      </c>
      <c r="AE413" s="169">
        <f t="shared" si="263"/>
        <v>26.673758669457115</v>
      </c>
      <c r="AF413" s="98" t="str">
        <f t="shared" si="249"/>
        <v>-0.0000119284294234592</v>
      </c>
      <c r="AG413" s="98" t="str">
        <f t="shared" si="250"/>
        <v>0.00313717306457139i</v>
      </c>
      <c r="AH413" s="98">
        <f t="shared" si="264"/>
        <v>3.1371730645713899E-3</v>
      </c>
      <c r="AI413" s="98">
        <f t="shared" si="265"/>
        <v>1.5707963267948966</v>
      </c>
      <c r="AJ413" s="98" t="str">
        <f t="shared" si="251"/>
        <v>1+2.7092847210994i</v>
      </c>
      <c r="AK413" s="98">
        <f t="shared" si="266"/>
        <v>2.887944545863486</v>
      </c>
      <c r="AL413" s="98">
        <f t="shared" si="267"/>
        <v>1.2172072881906675</v>
      </c>
      <c r="AM413" s="98" t="str">
        <f t="shared" si="252"/>
        <v>1+6899.07039297412i</v>
      </c>
      <c r="AN413" s="98">
        <f t="shared" si="268"/>
        <v>6899.0704654476522</v>
      </c>
      <c r="AO413" s="98">
        <f t="shared" si="269"/>
        <v>1.5706513797315915</v>
      </c>
      <c r="AP413" s="168" t="str">
        <f t="shared" si="270"/>
        <v>-3.14403290328774+8.52188259357517i</v>
      </c>
      <c r="AQ413" s="98">
        <f t="shared" si="271"/>
        <v>19.164930376930446</v>
      </c>
      <c r="AR413" s="169">
        <f t="shared" si="272"/>
        <v>110.25085473913045</v>
      </c>
      <c r="AS413" s="168" t="str">
        <f t="shared" si="273"/>
        <v>-0.00284767710069291+0.00266251545252981i</v>
      </c>
      <c r="AT413" s="190">
        <f t="shared" si="274"/>
        <v>-48.182063186509055</v>
      </c>
      <c r="AU413" s="169">
        <f t="shared" si="275"/>
        <v>136.92461340858762</v>
      </c>
      <c r="AV413" s="225"/>
      <c r="AX413">
        <f t="shared" si="276"/>
        <v>0</v>
      </c>
      <c r="AY413">
        <f t="shared" si="277"/>
        <v>0</v>
      </c>
    </row>
    <row r="414" spans="14:51" x14ac:dyDescent="0.2">
      <c r="N414" s="170">
        <v>96</v>
      </c>
      <c r="O414" s="199">
        <f t="shared" si="243"/>
        <v>91201.083935591028</v>
      </c>
      <c r="P414" s="189" t="str">
        <f t="shared" si="244"/>
        <v>771.276595744681</v>
      </c>
      <c r="Q414" s="160" t="str">
        <f t="shared" si="245"/>
        <v>1+584493.976794617i</v>
      </c>
      <c r="R414" s="160">
        <f t="shared" si="253"/>
        <v>584493.97679547244</v>
      </c>
      <c r="S414" s="160">
        <f t="shared" si="254"/>
        <v>1.57079461591328</v>
      </c>
      <c r="T414" s="160" t="str">
        <f t="shared" si="246"/>
        <v>1+0.13752799453991i</v>
      </c>
      <c r="U414" s="160">
        <f t="shared" si="255"/>
        <v>1.00941267541188</v>
      </c>
      <c r="V414" s="160">
        <f t="shared" si="256"/>
        <v>0.13667063747629293</v>
      </c>
      <c r="W414" s="98" t="str">
        <f t="shared" si="247"/>
        <v>1-0.389662651196411i</v>
      </c>
      <c r="X414" s="160">
        <f t="shared" si="257"/>
        <v>1.0732366848637889</v>
      </c>
      <c r="Y414" s="160">
        <f t="shared" si="258"/>
        <v>-0.37156322832955618</v>
      </c>
      <c r="Z414" s="98" t="str">
        <f t="shared" si="248"/>
        <v>-2.3270550844107-2.66794699086573i</v>
      </c>
      <c r="AA414" s="160">
        <f t="shared" si="259"/>
        <v>3.5402156024670579</v>
      </c>
      <c r="AB414" s="160">
        <f t="shared" si="260"/>
        <v>-2.288053550594896</v>
      </c>
      <c r="AC414" s="171" t="str">
        <f t="shared" si="261"/>
        <v>0.000357724944262923+0.000187312746308121i</v>
      </c>
      <c r="AD414" s="190">
        <f t="shared" si="262"/>
        <v>-67.876706717252986</v>
      </c>
      <c r="AE414" s="169">
        <f t="shared" si="263"/>
        <v>27.637555680520848</v>
      </c>
      <c r="AF414" s="98" t="str">
        <f t="shared" si="249"/>
        <v>-0.0000119284294234592</v>
      </c>
      <c r="AG414" s="98" t="str">
        <f t="shared" si="250"/>
        <v>0.00321024721254785i</v>
      </c>
      <c r="AH414" s="98">
        <f t="shared" si="264"/>
        <v>3.2102472125478498E-3</v>
      </c>
      <c r="AI414" s="98">
        <f t="shared" si="265"/>
        <v>1.5707963267948966</v>
      </c>
      <c r="AJ414" s="98" t="str">
        <f t="shared" si="251"/>
        <v>1+2.77239206919433i</v>
      </c>
      <c r="AK414" s="98">
        <f t="shared" si="266"/>
        <v>2.9472288315181121</v>
      </c>
      <c r="AL414" s="98">
        <f t="shared" si="267"/>
        <v>1.2246217768122905</v>
      </c>
      <c r="AM414" s="98" t="str">
        <f t="shared" si="252"/>
        <v>1+7059.77038638204i</v>
      </c>
      <c r="AN414" s="98">
        <f t="shared" si="268"/>
        <v>7059.7704572058719</v>
      </c>
      <c r="AO414" s="98">
        <f t="shared" si="269"/>
        <v>1.5706546791295219</v>
      </c>
      <c r="AP414" s="168" t="str">
        <f t="shared" si="270"/>
        <v>-3.01881895097586+8.3730654534854i</v>
      </c>
      <c r="AQ414" s="98">
        <f t="shared" si="271"/>
        <v>18.988430225240588</v>
      </c>
      <c r="AR414" s="169">
        <f t="shared" si="272"/>
        <v>109.82622487544</v>
      </c>
      <c r="AS414" s="168" t="str">
        <f t="shared" si="273"/>
        <v>-0.0026482887260877+0.00242979110434358i</v>
      </c>
      <c r="AT414" s="190">
        <f t="shared" si="274"/>
        <v>-48.888276492012395</v>
      </c>
      <c r="AU414" s="169">
        <f t="shared" si="275"/>
        <v>137.46378055596088</v>
      </c>
      <c r="AV414" s="225"/>
      <c r="AX414">
        <f t="shared" si="276"/>
        <v>0</v>
      </c>
      <c r="AY414">
        <f t="shared" si="277"/>
        <v>0</v>
      </c>
    </row>
    <row r="415" spans="14:51" x14ac:dyDescent="0.2">
      <c r="N415" s="170">
        <v>97</v>
      </c>
      <c r="O415" s="199">
        <f t="shared" si="243"/>
        <v>93325.430079699145</v>
      </c>
      <c r="P415" s="189" t="str">
        <f t="shared" si="244"/>
        <v>771.276595744681</v>
      </c>
      <c r="Q415" s="160" t="str">
        <f t="shared" si="245"/>
        <v>1+598108.590484242i</v>
      </c>
      <c r="R415" s="160">
        <f t="shared" si="253"/>
        <v>598108.59048507782</v>
      </c>
      <c r="S415" s="160">
        <f t="shared" si="254"/>
        <v>1.5707946548577001</v>
      </c>
      <c r="T415" s="160" t="str">
        <f t="shared" si="246"/>
        <v>1+0.140731433055116i</v>
      </c>
      <c r="U415" s="160">
        <f t="shared" si="255"/>
        <v>1.0098541163206429</v>
      </c>
      <c r="V415" s="160">
        <f t="shared" si="256"/>
        <v>0.13981324187208721</v>
      </c>
      <c r="W415" s="98" t="str">
        <f t="shared" si="247"/>
        <v>1-0.398739060322827i</v>
      </c>
      <c r="X415" s="160">
        <f t="shared" si="257"/>
        <v>1.0765652967781987</v>
      </c>
      <c r="Y415" s="160">
        <f t="shared" si="258"/>
        <v>-0.37941888773003657</v>
      </c>
      <c r="Z415" s="98" t="str">
        <f t="shared" si="248"/>
        <v>-2.48385435982434-2.73009145952942i</v>
      </c>
      <c r="AA415" s="160">
        <f t="shared" si="259"/>
        <v>3.6909256099539394</v>
      </c>
      <c r="AB415" s="160">
        <f t="shared" si="260"/>
        <v>-2.3090029221441282</v>
      </c>
      <c r="AC415" s="171" t="str">
        <f t="shared" si="261"/>
        <v>0.000333589834798582+0.00018163614618592i</v>
      </c>
      <c r="AD415" s="190">
        <f t="shared" si="262"/>
        <v>-68.408123261210406</v>
      </c>
      <c r="AE415" s="169">
        <f t="shared" si="263"/>
        <v>28.567825862010881</v>
      </c>
      <c r="AF415" s="98" t="str">
        <f t="shared" si="249"/>
        <v>-0.0000119284294234592</v>
      </c>
      <c r="AG415" s="98" t="str">
        <f t="shared" si="250"/>
        <v>0.00328502347608903i</v>
      </c>
      <c r="AH415" s="98">
        <f t="shared" si="264"/>
        <v>3.2850234760890299E-3</v>
      </c>
      <c r="AI415" s="98">
        <f t="shared" si="265"/>
        <v>1.5707963267948966</v>
      </c>
      <c r="AJ415" s="98" t="str">
        <f t="shared" si="251"/>
        <v>1+2.8369693762613i</v>
      </c>
      <c r="AK415" s="98">
        <f t="shared" si="266"/>
        <v>3.0080550596430959</v>
      </c>
      <c r="AL415" s="98">
        <f t="shared" si="267"/>
        <v>1.2319060149064716</v>
      </c>
      <c r="AM415" s="98" t="str">
        <f t="shared" si="252"/>
        <v>1+7224.21356349593i</v>
      </c>
      <c r="AN415" s="98">
        <f t="shared" si="268"/>
        <v>7224.2136327076159</v>
      </c>
      <c r="AO415" s="98">
        <f t="shared" si="269"/>
        <v>1.5706579034239894</v>
      </c>
      <c r="AP415" s="168" t="str">
        <f t="shared" si="270"/>
        <v>-2.89796555440704+8.22507068631382i</v>
      </c>
      <c r="AQ415" s="98">
        <f t="shared" si="271"/>
        <v>18.810991735569672</v>
      </c>
      <c r="AR415" s="169">
        <f t="shared" si="272"/>
        <v>109.40905351413997</v>
      </c>
      <c r="AS415" s="168" t="str">
        <f t="shared" si="273"/>
        <v>-0.00246070199211545+0.00221742467637205i</v>
      </c>
      <c r="AT415" s="190">
        <f t="shared" si="274"/>
        <v>-49.597131525640734</v>
      </c>
      <c r="AU415" s="169">
        <f t="shared" si="275"/>
        <v>137.97687937615086</v>
      </c>
      <c r="AV415" s="225"/>
      <c r="AX415">
        <f t="shared" si="276"/>
        <v>0</v>
      </c>
      <c r="AY415">
        <f t="shared" si="277"/>
        <v>0</v>
      </c>
    </row>
    <row r="416" spans="14:51" x14ac:dyDescent="0.2">
      <c r="N416" s="170">
        <v>98</v>
      </c>
      <c r="O416" s="199">
        <f t="shared" si="243"/>
        <v>95499.258602143804</v>
      </c>
      <c r="P416" s="189" t="str">
        <f t="shared" si="244"/>
        <v>771.276595744681</v>
      </c>
      <c r="Q416" s="160" t="str">
        <f t="shared" si="245"/>
        <v>1+612040.329265445i</v>
      </c>
      <c r="R416" s="160">
        <f t="shared" si="253"/>
        <v>612040.32926626189</v>
      </c>
      <c r="S416" s="160">
        <f t="shared" si="254"/>
        <v>1.5707946929156371</v>
      </c>
      <c r="T416" s="160" t="str">
        <f t="shared" si="246"/>
        <v>1+0.144009489238928i</v>
      </c>
      <c r="U416" s="160">
        <f t="shared" si="255"/>
        <v>1.0103161549687587</v>
      </c>
      <c r="V416" s="160">
        <f t="shared" si="256"/>
        <v>0.14302617141968213</v>
      </c>
      <c r="W416" s="98" t="str">
        <f t="shared" si="247"/>
        <v>1-0.408026886176962i</v>
      </c>
      <c r="X416" s="160">
        <f t="shared" si="257"/>
        <v>1.0800397862316311</v>
      </c>
      <c r="Y416" s="160">
        <f t="shared" si="258"/>
        <v>-0.3874068968503675</v>
      </c>
      <c r="Z416" s="98" t="str">
        <f t="shared" si="248"/>
        <v>-2.64804335742366-2.793683458822i</v>
      </c>
      <c r="AA416" s="160">
        <f t="shared" si="259"/>
        <v>3.8492597848016472</v>
      </c>
      <c r="AB416" s="160">
        <f t="shared" si="260"/>
        <v>-2.329437295689706</v>
      </c>
      <c r="AC416" s="171" t="str">
        <f t="shared" si="261"/>
        <v>0.000311025901408243+0.000175719514503608i</v>
      </c>
      <c r="AD416" s="190">
        <f t="shared" si="262"/>
        <v>-68.941001158805904</v>
      </c>
      <c r="AE416" s="169">
        <f t="shared" si="263"/>
        <v>29.465035136250169</v>
      </c>
      <c r="AF416" s="98" t="str">
        <f t="shared" si="249"/>
        <v>-0.0000119284294234592</v>
      </c>
      <c r="AG416" s="98" t="str">
        <f t="shared" si="250"/>
        <v>0.00336154150255968i</v>
      </c>
      <c r="AH416" s="98">
        <f t="shared" si="264"/>
        <v>3.3615415025596801E-3</v>
      </c>
      <c r="AI416" s="98">
        <f t="shared" si="265"/>
        <v>1.5707963267948966</v>
      </c>
      <c r="AJ416" s="98" t="str">
        <f t="shared" si="251"/>
        <v>1+2.90305088204329i</v>
      </c>
      <c r="AK416" s="98">
        <f t="shared" si="266"/>
        <v>3.0704567125644884</v>
      </c>
      <c r="AL416" s="98">
        <f t="shared" si="267"/>
        <v>1.2390607716964825</v>
      </c>
      <c r="AM416" s="98" t="str">
        <f t="shared" si="252"/>
        <v>1+7392.48711426498i</v>
      </c>
      <c r="AN416" s="98">
        <f t="shared" si="268"/>
        <v>7392.4871819012151</v>
      </c>
      <c r="AO416" s="98">
        <f t="shared" si="269"/>
        <v>1.5706610543245569</v>
      </c>
      <c r="AP416" s="168" t="str">
        <f t="shared" si="270"/>
        <v>-2.78137036917675+8.07800820334963i</v>
      </c>
      <c r="AQ416" s="98">
        <f t="shared" si="271"/>
        <v>18.632647777614583</v>
      </c>
      <c r="AR416" s="169">
        <f t="shared" si="272"/>
        <v>108.99929667993393</v>
      </c>
      <c r="AS416" s="168" t="str">
        <f t="shared" si="273"/>
        <v>-0.00228454190587214+0.00202372873210354i</v>
      </c>
      <c r="AT416" s="190">
        <f t="shared" si="274"/>
        <v>-50.30835338119131</v>
      </c>
      <c r="AU416" s="169">
        <f t="shared" si="275"/>
        <v>138.46433181618417</v>
      </c>
      <c r="AV416" s="225"/>
      <c r="AX416">
        <f t="shared" si="276"/>
        <v>0</v>
      </c>
      <c r="AY416">
        <f t="shared" si="277"/>
        <v>0</v>
      </c>
    </row>
    <row r="417" spans="14:51" x14ac:dyDescent="0.2">
      <c r="N417" s="170">
        <v>99</v>
      </c>
      <c r="O417" s="199">
        <f t="shared" si="243"/>
        <v>97723.722095581266</v>
      </c>
      <c r="P417" s="189" t="str">
        <f t="shared" si="244"/>
        <v>771.276595744681</v>
      </c>
      <c r="Q417" s="160" t="str">
        <f t="shared" si="245"/>
        <v>1+626296.579930534i</v>
      </c>
      <c r="R417" s="160">
        <f t="shared" si="253"/>
        <v>626296.57993133238</v>
      </c>
      <c r="S417" s="160">
        <f t="shared" si="254"/>
        <v>1.5707947301072696</v>
      </c>
      <c r="T417" s="160" t="str">
        <f t="shared" si="246"/>
        <v>1+0.147363901160126i</v>
      </c>
      <c r="U417" s="160">
        <f t="shared" si="255"/>
        <v>1.0107997424639221</v>
      </c>
      <c r="V417" s="160">
        <f t="shared" si="256"/>
        <v>0.1463108641837032</v>
      </c>
      <c r="W417" s="98" t="str">
        <f t="shared" si="247"/>
        <v>1-0.417531053287022i</v>
      </c>
      <c r="X417" s="160">
        <f t="shared" si="257"/>
        <v>1.0836660834680441</v>
      </c>
      <c r="Y417" s="160">
        <f t="shared" si="258"/>
        <v>-0.39552741238819411</v>
      </c>
      <c r="Z417" s="98" t="str">
        <f t="shared" si="248"/>
        <v>-2.81997034408576-2.85875670606321i</v>
      </c>
      <c r="AA417" s="160">
        <f t="shared" si="259"/>
        <v>4.015560066290198</v>
      </c>
      <c r="AB417" s="160">
        <f t="shared" si="260"/>
        <v>-2.3493644808403022</v>
      </c>
      <c r="AC417" s="171" t="str">
        <f t="shared" si="261"/>
        <v>0.000289949756045542+0.000169634669671607i</v>
      </c>
      <c r="AD417" s="190">
        <f t="shared" si="262"/>
        <v>-69.475108202727128</v>
      </c>
      <c r="AE417" s="169">
        <f t="shared" si="263"/>
        <v>30.329704376619393</v>
      </c>
      <c r="AF417" s="98" t="str">
        <f t="shared" si="249"/>
        <v>-0.0000119284294234592</v>
      </c>
      <c r="AG417" s="98" t="str">
        <f t="shared" si="250"/>
        <v>0.00343984186283024i</v>
      </c>
      <c r="AH417" s="98">
        <f t="shared" si="264"/>
        <v>3.4398418628302399E-3</v>
      </c>
      <c r="AI417" s="98">
        <f t="shared" si="265"/>
        <v>1.5707963267948966</v>
      </c>
      <c r="AJ417" s="98" t="str">
        <f t="shared" si="251"/>
        <v>1+2.97067162382936i</v>
      </c>
      <c r="AK417" s="98">
        <f t="shared" si="266"/>
        <v>3.1344680404535898</v>
      </c>
      <c r="AL417" s="98">
        <f t="shared" si="267"/>
        <v>1.2460869097490201</v>
      </c>
      <c r="AM417" s="98" t="str">
        <f t="shared" si="252"/>
        <v>1+7564.68025955311i</v>
      </c>
      <c r="AN417" s="98">
        <f t="shared" si="268"/>
        <v>7564.680325649756</v>
      </c>
      <c r="AO417" s="98">
        <f t="shared" si="269"/>
        <v>1.5706641335018738</v>
      </c>
      <c r="AP417" s="168" t="str">
        <f t="shared" si="270"/>
        <v>-2.66892942408784+7.93198063224557i</v>
      </c>
      <c r="AQ417" s="98">
        <f t="shared" si="271"/>
        <v>18.453430433999415</v>
      </c>
      <c r="AR417" s="169">
        <f t="shared" si="272"/>
        <v>108.59690504711193</v>
      </c>
      <c r="AS417" s="168" t="str">
        <f t="shared" si="273"/>
        <v>-0.0021193943498096+0.00184713288804559i</v>
      </c>
      <c r="AT417" s="190">
        <f t="shared" si="274"/>
        <v>-51.021677768727727</v>
      </c>
      <c r="AU417" s="169">
        <f t="shared" si="275"/>
        <v>138.92660942373141</v>
      </c>
      <c r="AV417" s="225"/>
      <c r="AX417">
        <f t="shared" si="276"/>
        <v>0</v>
      </c>
      <c r="AY417">
        <f t="shared" si="277"/>
        <v>0</v>
      </c>
    </row>
    <row r="418" spans="14:51" x14ac:dyDescent="0.2">
      <c r="N418" s="170">
        <v>100</v>
      </c>
      <c r="O418" s="199">
        <f t="shared" si="243"/>
        <v>100000</v>
      </c>
      <c r="P418" s="189" t="str">
        <f t="shared" si="244"/>
        <v>771.276595744681</v>
      </c>
      <c r="Q418" s="160" t="str">
        <f t="shared" si="245"/>
        <v>1+640884.901332318i</v>
      </c>
      <c r="R418" s="160">
        <f t="shared" si="253"/>
        <v>640884.90133309807</v>
      </c>
      <c r="S418" s="160">
        <f t="shared" si="254"/>
        <v>1.5707947664523172</v>
      </c>
      <c r="T418" s="160" t="str">
        <f t="shared" si="246"/>
        <v>1+0.15079644737231i</v>
      </c>
      <c r="U418" s="160">
        <f t="shared" si="255"/>
        <v>1.011305872889162</v>
      </c>
      <c r="V418" s="160">
        <f t="shared" si="256"/>
        <v>0.1496687780903295</v>
      </c>
      <c r="W418" s="98" t="str">
        <f t="shared" si="247"/>
        <v>1-0.427256600888211i</v>
      </c>
      <c r="X418" s="160">
        <f t="shared" si="257"/>
        <v>1.0874503220848979</v>
      </c>
      <c r="Y418" s="160">
        <f t="shared" si="258"/>
        <v>-0.4037804549860064</v>
      </c>
      <c r="Z418" s="98" t="str">
        <f t="shared" si="248"/>
        <v>-3.00000000000001-2.92534570395009i</v>
      </c>
      <c r="AA418" s="160">
        <f t="shared" si="259"/>
        <v>4.1901846603245669</v>
      </c>
      <c r="AB418" s="160">
        <f t="shared" si="260"/>
        <v>-2.3687929696711825</v>
      </c>
      <c r="AC418" s="171" t="str">
        <f t="shared" si="261"/>
        <v>0.000270279104063862+0.000163444532121104i</v>
      </c>
      <c r="AD418" s="190">
        <f t="shared" si="262"/>
        <v>-70.010221884924505</v>
      </c>
      <c r="AE418" s="169">
        <f t="shared" si="263"/>
        <v>31.162402492349592</v>
      </c>
      <c r="AF418" s="98" t="str">
        <f t="shared" si="249"/>
        <v>-0.0000119284294234592</v>
      </c>
      <c r="AG418" s="98" t="str">
        <f t="shared" si="250"/>
        <v>0.00351996607278815i</v>
      </c>
      <c r="AH418" s="98">
        <f t="shared" si="264"/>
        <v>3.5199660727881499E-3</v>
      </c>
      <c r="AI418" s="98">
        <f t="shared" si="265"/>
        <v>1.5707963267948966</v>
      </c>
      <c r="AJ418" s="98" t="str">
        <f t="shared" si="251"/>
        <v>1+3.03986745503187i</v>
      </c>
      <c r="AK418" s="98">
        <f t="shared" si="266"/>
        <v>3.2001240826196002</v>
      </c>
      <c r="AL418" s="98">
        <f t="shared" si="267"/>
        <v>1.2529853786534293</v>
      </c>
      <c r="AM418" s="98" t="str">
        <f t="shared" si="252"/>
        <v>1+7740.88429844525i</v>
      </c>
      <c r="AN418" s="98">
        <f t="shared" si="268"/>
        <v>7740.884363037354</v>
      </c>
      <c r="AO418" s="98">
        <f t="shared" si="269"/>
        <v>1.5706671425885601</v>
      </c>
      <c r="AP418" s="168" t="str">
        <f t="shared" si="270"/>
        <v>-2.56053752906208+7.78708349300501i</v>
      </c>
      <c r="AQ418" s="98">
        <f t="shared" si="271"/>
        <v>18.273370989440384</v>
      </c>
      <c r="AR418" s="169">
        <f t="shared" si="272"/>
        <v>108.2018243017544</v>
      </c>
      <c r="AS418" s="168" t="str">
        <f t="shared" si="273"/>
        <v>-0.00196481600737897+0.0016861800913438i</v>
      </c>
      <c r="AT418" s="190">
        <f t="shared" si="274"/>
        <v>-51.736850895484139</v>
      </c>
      <c r="AU418" s="169">
        <f t="shared" si="275"/>
        <v>139.36422679410404</v>
      </c>
      <c r="AV418" s="225"/>
      <c r="AX418">
        <f t="shared" si="276"/>
        <v>0</v>
      </c>
      <c r="AY418">
        <f t="shared" si="277"/>
        <v>0</v>
      </c>
    </row>
    <row r="419" spans="14:51" x14ac:dyDescent="0.2">
      <c r="N419" s="170">
        <v>1</v>
      </c>
      <c r="O419" s="199">
        <f>10^(5+(N419/100))</f>
        <v>102329.29922807543</v>
      </c>
      <c r="P419" s="189" t="str">
        <f t="shared" si="244"/>
        <v>771.276595744681</v>
      </c>
      <c r="Q419" s="160" t="str">
        <f t="shared" si="245"/>
        <v>1+655813.028391904i</v>
      </c>
      <c r="R419" s="160">
        <f t="shared" si="253"/>
        <v>655813.02839266625</v>
      </c>
      <c r="S419" s="160">
        <f t="shared" si="254"/>
        <v>1.5707948019700506</v>
      </c>
      <c r="T419" s="160" t="str">
        <f t="shared" si="246"/>
        <v>1+0.154308947856918i</v>
      </c>
      <c r="U419" s="160">
        <f t="shared" si="255"/>
        <v>1.0118355851563579</v>
      </c>
      <c r="V419" s="160">
        <f t="shared" si="256"/>
        <v>0.15310139049346694</v>
      </c>
      <c r="W419" s="98" t="str">
        <f t="shared" si="247"/>
        <v>1-0.437208685594602i</v>
      </c>
      <c r="X419" s="160">
        <f t="shared" si="257"/>
        <v>1.0913988431180233</v>
      </c>
      <c r="Y419" s="160">
        <f t="shared" si="258"/>
        <v>-0.41216590236811201</v>
      </c>
      <c r="Z419" s="98" t="str">
        <f t="shared" si="248"/>
        <v>-3.18851419220361-2.99348575885073i</v>
      </c>
      <c r="AA419" s="160">
        <f t="shared" si="259"/>
        <v>4.3735088592943274</v>
      </c>
      <c r="AB419" s="160">
        <f t="shared" si="260"/>
        <v>-2.3877318198553334</v>
      </c>
      <c r="AC419" s="171" t="str">
        <f t="shared" si="261"/>
        <v>0.000251933340580488+0.000157203819562761i</v>
      </c>
      <c r="AD419" s="190">
        <f t="shared" si="262"/>
        <v>-70.54612919297449</v>
      </c>
      <c r="AE419" s="169">
        <f t="shared" si="263"/>
        <v>31.963740100796176</v>
      </c>
      <c r="AF419" s="98" t="str">
        <f t="shared" si="249"/>
        <v>-0.0000119284294234592</v>
      </c>
      <c r="AG419" s="98" t="str">
        <f t="shared" si="250"/>
        <v>0.00360195661535012i</v>
      </c>
      <c r="AH419" s="98">
        <f t="shared" si="264"/>
        <v>3.6019566153501202E-3</v>
      </c>
      <c r="AI419" s="98">
        <f t="shared" si="265"/>
        <v>1.5707963267948966</v>
      </c>
      <c r="AJ419" s="98" t="str">
        <f t="shared" si="251"/>
        <v>1+3.11067506419644i</v>
      </c>
      <c r="AK419" s="98">
        <f t="shared" si="266"/>
        <v>3.267460689130556</v>
      </c>
      <c r="AL419" s="98">
        <f t="shared" si="267"/>
        <v>1.2597572088628466</v>
      </c>
      <c r="AM419" s="98" t="str">
        <f t="shared" si="252"/>
        <v>1+7921.19265665514i</v>
      </c>
      <c r="AN419" s="98">
        <f t="shared" si="268"/>
        <v>7921.1927197769483</v>
      </c>
      <c r="AO419" s="98">
        <f t="shared" si="269"/>
        <v>1.5706700831800733</v>
      </c>
      <c r="AP419" s="168" t="str">
        <f t="shared" si="270"/>
        <v>-2.45608865596411+7.64340539028356i</v>
      </c>
      <c r="AQ419" s="98">
        <f t="shared" si="271"/>
        <v>18.092499922918542</v>
      </c>
      <c r="AR419" s="169">
        <f t="shared" si="272"/>
        <v>107.8139954946585</v>
      </c>
      <c r="AS419" s="168" t="str">
        <f t="shared" si="273"/>
        <v>-0.00182034314167805+0.00153952213548272i</v>
      </c>
      <c r="AT419" s="190">
        <f t="shared" si="274"/>
        <v>-52.453629270055949</v>
      </c>
      <c r="AU419" s="169">
        <f t="shared" si="275"/>
        <v>139.77773559545466</v>
      </c>
      <c r="AV419" s="225"/>
      <c r="AX419">
        <f t="shared" si="276"/>
        <v>0</v>
      </c>
      <c r="AY419">
        <f t="shared" si="277"/>
        <v>0</v>
      </c>
    </row>
    <row r="420" spans="14:51" x14ac:dyDescent="0.2">
      <c r="N420" s="170">
        <v>2</v>
      </c>
      <c r="O420" s="199">
        <f t="shared" ref="O420:O483" si="278">10^(5+(N420/100))</f>
        <v>104712.85480508996</v>
      </c>
      <c r="P420" s="189" t="str">
        <f t="shared" si="244"/>
        <v>771.276595744681</v>
      </c>
      <c r="Q420" s="160" t="str">
        <f t="shared" si="245"/>
        <v>1+671088.876199854i</v>
      </c>
      <c r="R420" s="160">
        <f t="shared" si="253"/>
        <v>671088.87620059901</v>
      </c>
      <c r="S420" s="160">
        <f t="shared" si="254"/>
        <v>1.5707948366793016</v>
      </c>
      <c r="T420" s="160" t="str">
        <f t="shared" si="246"/>
        <v>1+0.157903264988201i</v>
      </c>
      <c r="U420" s="160">
        <f t="shared" si="255"/>
        <v>1.0123899649314656</v>
      </c>
      <c r="V420" s="160">
        <f t="shared" si="256"/>
        <v>0.15661019767578771</v>
      </c>
      <c r="W420" s="98" t="str">
        <f t="shared" si="247"/>
        <v>1-0.447392584133236i</v>
      </c>
      <c r="X420" s="160">
        <f t="shared" si="257"/>
        <v>1.095518198998727</v>
      </c>
      <c r="Y420" s="160">
        <f t="shared" si="258"/>
        <v>-0.4206834825283719</v>
      </c>
      <c r="Z420" s="98" t="str">
        <f t="shared" si="248"/>
        <v>-3.38591278457276-3.06321299952419i</v>
      </c>
      <c r="AA420" s="160">
        <f t="shared" si="259"/>
        <v>4.5659258935277567</v>
      </c>
      <c r="AB420" s="160">
        <f t="shared" si="260"/>
        <v>-2.4061905480987136</v>
      </c>
      <c r="AC420" s="171" t="str">
        <f t="shared" si="261"/>
        <v>0.000234834032851493+0.000150959739532672i</v>
      </c>
      <c r="AD420" s="190">
        <f t="shared" si="262"/>
        <v>-71.082626347873841</v>
      </c>
      <c r="AE420" s="169">
        <f t="shared" si="263"/>
        <v>32.734363783452032</v>
      </c>
      <c r="AF420" s="98" t="str">
        <f t="shared" si="249"/>
        <v>-0.0000119284294234592</v>
      </c>
      <c r="AG420" s="98" t="str">
        <f t="shared" si="250"/>
        <v>0.00368585696298708i</v>
      </c>
      <c r="AH420" s="98">
        <f t="shared" si="264"/>
        <v>3.6858569629870802E-3</v>
      </c>
      <c r="AI420" s="98">
        <f t="shared" si="265"/>
        <v>1.5707963267948966</v>
      </c>
      <c r="AJ420" s="98" t="str">
        <f t="shared" si="251"/>
        <v>1+3.1831319944547i</v>
      </c>
      <c r="AK420" s="98">
        <f t="shared" si="266"/>
        <v>3.3365145427708178</v>
      </c>
      <c r="AL420" s="98">
        <f t="shared" si="267"/>
        <v>1.2664035057104304</v>
      </c>
      <c r="AM420" s="98" t="str">
        <f t="shared" si="252"/>
        <v>1+8105.70093606098i</v>
      </c>
      <c r="AN420" s="98">
        <f t="shared" si="268"/>
        <v>8105.7009977459593</v>
      </c>
      <c r="AO420" s="98">
        <f t="shared" si="269"/>
        <v>1.5706729568355537</v>
      </c>
      <c r="AP420" s="168" t="str">
        <f t="shared" si="270"/>
        <v>-2.35547629258265+7.50102821940046i</v>
      </c>
      <c r="AQ420" s="98">
        <f t="shared" si="271"/>
        <v>17.910846902654868</v>
      </c>
      <c r="AR420" s="169">
        <f t="shared" si="272"/>
        <v>107.43335538423172</v>
      </c>
      <c r="AS420" s="168" t="str">
        <f t="shared" si="273"/>
        <v>-0.00168549926330118+0.001405914619691i</v>
      </c>
      <c r="AT420" s="190">
        <f t="shared" si="274"/>
        <v>-53.171779445218988</v>
      </c>
      <c r="AU420" s="169">
        <f t="shared" si="275"/>
        <v>140.16771916768374</v>
      </c>
      <c r="AV420" s="225"/>
      <c r="AX420">
        <f t="shared" si="276"/>
        <v>0</v>
      </c>
      <c r="AY420">
        <f t="shared" si="277"/>
        <v>0</v>
      </c>
    </row>
    <row r="421" spans="14:51" x14ac:dyDescent="0.2">
      <c r="N421" s="170">
        <v>3</v>
      </c>
      <c r="O421" s="199">
        <f t="shared" si="278"/>
        <v>107151.93052376082</v>
      </c>
      <c r="P421" s="189" t="str">
        <f t="shared" si="244"/>
        <v>771.276595744681</v>
      </c>
      <c r="Q421" s="160" t="str">
        <f t="shared" si="245"/>
        <v>1+686720.544212879i</v>
      </c>
      <c r="R421" s="160">
        <f t="shared" si="253"/>
        <v>686720.54421360709</v>
      </c>
      <c r="S421" s="160">
        <f t="shared" si="254"/>
        <v>1.5707948705984738</v>
      </c>
      <c r="T421" s="160" t="str">
        <f t="shared" si="246"/>
        <v>1+0.161581304520677i</v>
      </c>
      <c r="U421" s="160">
        <f t="shared" si="255"/>
        <v>1.0129701466334553</v>
      </c>
      <c r="V421" s="160">
        <f t="shared" si="256"/>
        <v>0.16019671428021773</v>
      </c>
      <c r="W421" s="98" t="str">
        <f t="shared" si="247"/>
        <v>1-0.457813696141918i</v>
      </c>
      <c r="X421" s="160">
        <f t="shared" si="257"/>
        <v>1.0998151573674206</v>
      </c>
      <c r="Y421" s="160">
        <f t="shared" si="258"/>
        <v>-0.42933276700754958</v>
      </c>
      <c r="Z421" s="98" t="str">
        <f t="shared" si="248"/>
        <v>-3.59261448598756-3.13456439627642i</v>
      </c>
      <c r="AA421" s="160">
        <f t="shared" si="259"/>
        <v>4.7678478162931563</v>
      </c>
      <c r="AB421" s="160">
        <f t="shared" si="260"/>
        <v>-2.4241790336725035</v>
      </c>
      <c r="AC421" s="171" t="str">
        <f t="shared" si="261"/>
        <v>0.000218905300126177+0.000144752667455066i</v>
      </c>
      <c r="AD421" s="190">
        <f t="shared" si="262"/>
        <v>-71.619518496889128</v>
      </c>
      <c r="AE421" s="169">
        <f t="shared" si="263"/>
        <v>33.474950911359535</v>
      </c>
      <c r="AF421" s="98" t="str">
        <f t="shared" si="249"/>
        <v>-0.0000119284294234592</v>
      </c>
      <c r="AG421" s="98" t="str">
        <f t="shared" si="250"/>
        <v>0.00377171160077391i</v>
      </c>
      <c r="AH421" s="98">
        <f t="shared" si="264"/>
        <v>3.7717116007739099E-3</v>
      </c>
      <c r="AI421" s="98">
        <f t="shared" si="265"/>
        <v>1.5707963267948966</v>
      </c>
      <c r="AJ421" s="98" t="str">
        <f t="shared" si="251"/>
        <v>1+3.25727666343016i</v>
      </c>
      <c r="AK421" s="98">
        <f t="shared" si="266"/>
        <v>3.4073231813443701</v>
      </c>
      <c r="AL421" s="98">
        <f t="shared" si="267"/>
        <v>1.2729254436116288</v>
      </c>
      <c r="AM421" s="98" t="str">
        <f t="shared" si="252"/>
        <v>1+8294.50696539476i</v>
      </c>
      <c r="AN421" s="98">
        <f t="shared" si="268"/>
        <v>8294.5070256756171</v>
      </c>
      <c r="AO421" s="98">
        <f t="shared" si="269"/>
        <v>1.5706757650786516</v>
      </c>
      <c r="AP421" s="168" t="str">
        <f t="shared" si="270"/>
        <v>-2.25859377019462+7.360027383619i</v>
      </c>
      <c r="AQ421" s="98">
        <f t="shared" si="271"/>
        <v>17.728440783683642</v>
      </c>
      <c r="AR421" s="169">
        <f t="shared" si="272"/>
        <v>107.0598367687239</v>
      </c>
      <c r="AS421" s="168" t="str">
        <f t="shared" si="273"/>
        <v>-0.00155980174344875+0.00128421153041493i</v>
      </c>
      <c r="AT421" s="190">
        <f t="shared" si="274"/>
        <v>-53.891077713205497</v>
      </c>
      <c r="AU421" s="169">
        <f t="shared" si="275"/>
        <v>140.53478768008353</v>
      </c>
      <c r="AV421" s="225"/>
      <c r="AX421">
        <f t="shared" si="276"/>
        <v>0</v>
      </c>
      <c r="AY421">
        <f t="shared" si="277"/>
        <v>0</v>
      </c>
    </row>
    <row r="422" spans="14:51" x14ac:dyDescent="0.2">
      <c r="N422" s="170">
        <v>4</v>
      </c>
      <c r="O422" s="199">
        <f t="shared" si="278"/>
        <v>109647.81961431868</v>
      </c>
      <c r="P422" s="189" t="str">
        <f t="shared" si="244"/>
        <v>771.276595744681</v>
      </c>
      <c r="Q422" s="160" t="str">
        <f t="shared" si="245"/>
        <v>1+702716.320548264i</v>
      </c>
      <c r="R422" s="160">
        <f t="shared" si="253"/>
        <v>702716.32054897549</v>
      </c>
      <c r="S422" s="160">
        <f t="shared" si="254"/>
        <v>1.5707949037455511</v>
      </c>
      <c r="T422" s="160" t="str">
        <f t="shared" si="246"/>
        <v>1+0.165345016599591i</v>
      </c>
      <c r="U422" s="160">
        <f t="shared" si="255"/>
        <v>1.0135773155089449</v>
      </c>
      <c r="V422" s="160">
        <f t="shared" si="256"/>
        <v>0.16386247266724746</v>
      </c>
      <c r="W422" s="98" t="str">
        <f t="shared" si="247"/>
        <v>1-0.468477547032175i</v>
      </c>
      <c r="X422" s="160">
        <f t="shared" si="257"/>
        <v>1.1042967047280743</v>
      </c>
      <c r="Y422" s="160">
        <f t="shared" si="258"/>
        <v>-0.43811316430190717</v>
      </c>
      <c r="Z422" s="98" t="str">
        <f t="shared" si="248"/>
        <v>-3.80905773846968-3.20757778056241i</v>
      </c>
      <c r="AA422" s="160">
        <f t="shared" si="259"/>
        <v>4.9797064244143376</v>
      </c>
      <c r="AB422" s="160">
        <f t="shared" si="260"/>
        <v>-2.4417074316939282</v>
      </c>
      <c r="AC422" s="171" t="str">
        <f t="shared" si="261"/>
        <v>0.000204074102542425+0.000138616801118031i</v>
      </c>
      <c r="AD422" s="190">
        <f t="shared" si="262"/>
        <v>-72.156619373551692</v>
      </c>
      <c r="AE422" s="169">
        <f t="shared" si="263"/>
        <v>34.186205017301674</v>
      </c>
      <c r="AF422" s="98" t="str">
        <f t="shared" si="249"/>
        <v>-0.0000119284294234592</v>
      </c>
      <c r="AG422" s="98" t="str">
        <f t="shared" si="250"/>
        <v>0.00385956604997597i</v>
      </c>
      <c r="AH422" s="98">
        <f t="shared" si="264"/>
        <v>3.85956604997597E-3</v>
      </c>
      <c r="AI422" s="98">
        <f t="shared" si="265"/>
        <v>1.5707963267948966</v>
      </c>
      <c r="AJ422" s="98" t="str">
        <f t="shared" si="251"/>
        <v>1+3.33314838360772i</v>
      </c>
      <c r="AK422" s="98">
        <f t="shared" si="266"/>
        <v>3.479925020334024</v>
      </c>
      <c r="AL422" s="98">
        <f t="shared" si="267"/>
        <v>1.2793242604613768</v>
      </c>
      <c r="AM422" s="98" t="str">
        <f t="shared" si="252"/>
        <v>1+8487.71085211236i</v>
      </c>
      <c r="AN422" s="98">
        <f t="shared" si="268"/>
        <v>8487.7109110210586</v>
      </c>
      <c r="AO422" s="98">
        <f t="shared" si="269"/>
        <v>1.570678509398334</v>
      </c>
      <c r="AP422" s="168" t="str">
        <f t="shared" si="270"/>
        <v>-2.16533456529486+7.22047202042638i</v>
      </c>
      <c r="AQ422" s="98">
        <f t="shared" si="271"/>
        <v>17.545309607825885</v>
      </c>
      <c r="AR422" s="169">
        <f t="shared" si="272"/>
        <v>106.69336880729166</v>
      </c>
      <c r="AS422" s="168" t="str">
        <f t="shared" si="273"/>
        <v>-0.00144276744215039+0.00117335959670973i</v>
      </c>
      <c r="AT422" s="190">
        <f t="shared" si="274"/>
        <v>-54.611309765725821</v>
      </c>
      <c r="AU422" s="169">
        <f t="shared" si="275"/>
        <v>140.87957382459325</v>
      </c>
      <c r="AV422" s="225"/>
      <c r="AX422">
        <f t="shared" si="276"/>
        <v>0</v>
      </c>
      <c r="AY422">
        <f t="shared" si="277"/>
        <v>0</v>
      </c>
    </row>
    <row r="423" spans="14:51" x14ac:dyDescent="0.2">
      <c r="N423" s="170">
        <v>5</v>
      </c>
      <c r="O423" s="199">
        <f t="shared" si="278"/>
        <v>112201.84543019651</v>
      </c>
      <c r="P423" s="189" t="str">
        <f t="shared" si="244"/>
        <v>771.276595744681</v>
      </c>
      <c r="Q423" s="160" t="str">
        <f t="shared" si="245"/>
        <v>1+719084.686378355i</v>
      </c>
      <c r="R423" s="160">
        <f t="shared" si="253"/>
        <v>719084.68637905037</v>
      </c>
      <c r="S423" s="160">
        <f t="shared" si="254"/>
        <v>1.5707949361381091</v>
      </c>
      <c r="T423" s="160" t="str">
        <f t="shared" si="246"/>
        <v>1+0.169196396794907i</v>
      </c>
      <c r="U423" s="160">
        <f t="shared" si="255"/>
        <v>1.0142127097844809</v>
      </c>
      <c r="V423" s="160">
        <f t="shared" si="256"/>
        <v>0.1676090221932276</v>
      </c>
      <c r="W423" s="98" t="str">
        <f t="shared" si="247"/>
        <v>1-0.479389790918903i</v>
      </c>
      <c r="X423" s="160">
        <f t="shared" si="257"/>
        <v>1.1089700499279813</v>
      </c>
      <c r="Y423" s="160">
        <f t="shared" si="258"/>
        <v>-0.44702391344740317</v>
      </c>
      <c r="Z423" s="98" t="str">
        <f t="shared" si="248"/>
        <v>-4.0357016471767-3.28229186504497i</v>
      </c>
      <c r="AA423" s="160">
        <f t="shared" si="259"/>
        <v>5.2019542166732986</v>
      </c>
      <c r="AB423" s="160">
        <f t="shared" si="260"/>
        <v>-2.4587860957019951</v>
      </c>
      <c r="AC423" s="171" t="str">
        <f t="shared" si="261"/>
        <v>0.000190270450363157+0.000132580784800329i</v>
      </c>
      <c r="AD423" s="190">
        <f t="shared" si="262"/>
        <v>-72.693750935378205</v>
      </c>
      <c r="AE423" s="169">
        <f t="shared" si="263"/>
        <v>34.868851685967563</v>
      </c>
      <c r="AF423" s="98" t="str">
        <f t="shared" si="249"/>
        <v>-0.0000119284294234592</v>
      </c>
      <c r="AG423" s="98" t="str">
        <f t="shared" si="250"/>
        <v>0.00394946689218512i</v>
      </c>
      <c r="AH423" s="98">
        <f t="shared" si="264"/>
        <v>3.9494668921851196E-3</v>
      </c>
      <c r="AI423" s="98">
        <f t="shared" si="265"/>
        <v>1.5707963267948966</v>
      </c>
      <c r="AJ423" s="98" t="str">
        <f t="shared" si="251"/>
        <v>1+3.41078738317771i</v>
      </c>
      <c r="AK423" s="98">
        <f t="shared" si="266"/>
        <v>3.5543593759275738</v>
      </c>
      <c r="AL423" s="98">
        <f t="shared" si="267"/>
        <v>1.2856012522331897</v>
      </c>
      <c r="AM423" s="98" t="str">
        <f t="shared" si="252"/>
        <v>1+8685.41503547189i</v>
      </c>
      <c r="AN423" s="98">
        <f t="shared" si="268"/>
        <v>8685.4150930396627</v>
      </c>
      <c r="AO423" s="98">
        <f t="shared" si="269"/>
        <v>1.5706811912496754</v>
      </c>
      <c r="AP423" s="168" t="str">
        <f t="shared" si="270"/>
        <v>-2.07559257620465+7.08242523471317i</v>
      </c>
      <c r="AQ423" s="98">
        <f t="shared" si="271"/>
        <v>17.361480605867118</v>
      </c>
      <c r="AR423" s="169">
        <f t="shared" si="272"/>
        <v>106.33387732949157</v>
      </c>
      <c r="AS423" s="168" t="str">
        <f t="shared" si="273"/>
        <v>-0.00133391743015281+0.00107239254639331i</v>
      </c>
      <c r="AT423" s="190">
        <f t="shared" si="274"/>
        <v>-55.332270329511104</v>
      </c>
      <c r="AU423" s="169">
        <f t="shared" si="275"/>
        <v>141.20272901545923</v>
      </c>
      <c r="AV423" s="225"/>
      <c r="AX423">
        <f t="shared" si="276"/>
        <v>0</v>
      </c>
      <c r="AY423">
        <f t="shared" si="277"/>
        <v>0</v>
      </c>
    </row>
    <row r="424" spans="14:51" x14ac:dyDescent="0.2">
      <c r="N424" s="170">
        <v>6</v>
      </c>
      <c r="O424" s="199">
        <f t="shared" si="278"/>
        <v>114815.36214968823</v>
      </c>
      <c r="P424" s="189" t="str">
        <f t="shared" si="244"/>
        <v>771.276595744681</v>
      </c>
      <c r="Q424" s="160" t="str">
        <f t="shared" si="245"/>
        <v>1+735834.320427373i</v>
      </c>
      <c r="R424" s="160">
        <f t="shared" si="253"/>
        <v>735834.32042805257</v>
      </c>
      <c r="S424" s="160">
        <f t="shared" si="254"/>
        <v>1.5707949677933222</v>
      </c>
      <c r="T424" s="160" t="str">
        <f t="shared" si="246"/>
        <v>1+0.173137487159382i</v>
      </c>
      <c r="U424" s="160">
        <f t="shared" si="255"/>
        <v>1.0148776228983794</v>
      </c>
      <c r="V424" s="160">
        <f t="shared" si="256"/>
        <v>0.17143792840462305</v>
      </c>
      <c r="W424" s="98" t="str">
        <f t="shared" si="247"/>
        <v>1-0.490556213618248i</v>
      </c>
      <c r="X424" s="160">
        <f t="shared" si="257"/>
        <v>1.1138426274476445</v>
      </c>
      <c r="Y424" s="160">
        <f t="shared" si="258"/>
        <v>-0.45606407782635711</v>
      </c>
      <c r="Z424" s="98" t="str">
        <f t="shared" si="248"/>
        <v>-4.27302695422563-3.35874626412064i</v>
      </c>
      <c r="AA424" s="160">
        <f t="shared" si="259"/>
        <v>5.4350653922729499</v>
      </c>
      <c r="AB424" s="160">
        <f t="shared" si="260"/>
        <v>-2.4754255090003348</v>
      </c>
      <c r="AC424" s="171" t="str">
        <f t="shared" si="261"/>
        <v>0.000177427544333871+0.000126668298300617i</v>
      </c>
      <c r="AD424" s="190">
        <f t="shared" si="262"/>
        <v>-73.230742988448981</v>
      </c>
      <c r="AE424" s="169">
        <f t="shared" si="263"/>
        <v>35.523634928872085</v>
      </c>
      <c r="AF424" s="98" t="str">
        <f t="shared" si="249"/>
        <v>-0.0000119284294234592</v>
      </c>
      <c r="AG424" s="98" t="str">
        <f t="shared" si="250"/>
        <v>0.00404146179401787i</v>
      </c>
      <c r="AH424" s="98">
        <f t="shared" si="264"/>
        <v>4.0414617940178702E-3</v>
      </c>
      <c r="AI424" s="98">
        <f t="shared" si="265"/>
        <v>1.5707963267948966</v>
      </c>
      <c r="AJ424" s="98" t="str">
        <f t="shared" si="251"/>
        <v>1+3.49023482736535i</v>
      </c>
      <c r="AK424" s="98">
        <f t="shared" si="266"/>
        <v>3.6306664884224822</v>
      </c>
      <c r="AL424" s="98">
        <f t="shared" si="267"/>
        <v>1.2917577677853447</v>
      </c>
      <c r="AM424" s="98" t="str">
        <f t="shared" si="252"/>
        <v>1+8887.72434084826i</v>
      </c>
      <c r="AN424" s="98">
        <f t="shared" si="268"/>
        <v>8887.7243971056305</v>
      </c>
      <c r="AO424" s="98">
        <f t="shared" si="269"/>
        <v>1.5706838120546291</v>
      </c>
      <c r="AP424" s="168" t="str">
        <f t="shared" si="270"/>
        <v>-1.98926237538385+6.94594433692592i</v>
      </c>
      <c r="AQ424" s="98">
        <f t="shared" si="271"/>
        <v>17.17698020175261</v>
      </c>
      <c r="AR424" s="169">
        <f t="shared" si="272"/>
        <v>105.98128513290919</v>
      </c>
      <c r="AS424" s="168" t="str">
        <f t="shared" si="273"/>
        <v>-0.00123278088754933+0.000980425366817208i</v>
      </c>
      <c r="AT424" s="190">
        <f t="shared" si="274"/>
        <v>-56.053762786696389</v>
      </c>
      <c r="AU424" s="169">
        <f t="shared" si="275"/>
        <v>141.50492006178121</v>
      </c>
      <c r="AV424" s="225"/>
      <c r="AX424">
        <f t="shared" si="276"/>
        <v>0</v>
      </c>
      <c r="AY424">
        <f t="shared" si="277"/>
        <v>0</v>
      </c>
    </row>
    <row r="425" spans="14:51" x14ac:dyDescent="0.2">
      <c r="N425" s="170">
        <v>7</v>
      </c>
      <c r="O425" s="199">
        <f t="shared" si="278"/>
        <v>117489.75549395311</v>
      </c>
      <c r="P425" s="189" t="str">
        <f t="shared" si="244"/>
        <v>771.276595744681</v>
      </c>
      <c r="Q425" s="160" t="str">
        <f t="shared" si="245"/>
        <v>1+752974.103573003i</v>
      </c>
      <c r="R425" s="160">
        <f t="shared" si="253"/>
        <v>752974.10357366689</v>
      </c>
      <c r="S425" s="160">
        <f t="shared" si="254"/>
        <v>1.5707949987279748</v>
      </c>
      <c r="T425" s="160" t="str">
        <f t="shared" si="246"/>
        <v>1+0.177170377311295i</v>
      </c>
      <c r="U425" s="160">
        <f t="shared" si="255"/>
        <v>1.0155734058139898</v>
      </c>
      <c r="V425" s="160">
        <f t="shared" si="256"/>
        <v>0.17535077214301065</v>
      </c>
      <c r="W425" s="98" t="str">
        <f t="shared" si="247"/>
        <v>1-0.501982735715334i</v>
      </c>
      <c r="X425" s="160">
        <f t="shared" si="257"/>
        <v>1.1189221004861112</v>
      </c>
      <c r="Y425" s="160">
        <f t="shared" si="258"/>
        <v>-0.46523253924578128</v>
      </c>
      <c r="Z425" s="98" t="str">
        <f t="shared" si="248"/>
        <v>-4.52153705841156-3.43698151492382i</v>
      </c>
      <c r="AA425" s="160">
        <f t="shared" si="259"/>
        <v>5.6795368917295628</v>
      </c>
      <c r="AB425" s="160">
        <f t="shared" si="260"/>
        <v>-2.491636224191367</v>
      </c>
      <c r="AC425" s="171" t="str">
        <f t="shared" si="261"/>
        <v>0.000165481857242614+0.000120898607816406i</v>
      </c>
      <c r="AD425" s="190">
        <f t="shared" si="262"/>
        <v>-73.767432806613527</v>
      </c>
      <c r="AE425" s="169">
        <f t="shared" si="263"/>
        <v>36.151314007924015</v>
      </c>
      <c r="AF425" s="98" t="str">
        <f t="shared" si="249"/>
        <v>-0.0000119284294234592</v>
      </c>
      <c r="AG425" s="98" t="str">
        <f t="shared" si="250"/>
        <v>0.0041355995323889i</v>
      </c>
      <c r="AH425" s="98">
        <f t="shared" si="264"/>
        <v>4.1355995323888997E-3</v>
      </c>
      <c r="AI425" s="98">
        <f t="shared" si="265"/>
        <v>1.5707963267948966</v>
      </c>
      <c r="AJ425" s="98" t="str">
        <f t="shared" si="251"/>
        <v>1+3.57153284025719i</v>
      </c>
      <c r="AK425" s="98">
        <f t="shared" si="266"/>
        <v>3.7088875460217978</v>
      </c>
      <c r="AL425" s="98">
        <f t="shared" si="267"/>
        <v>1.2977952038777505</v>
      </c>
      <c r="AM425" s="98" t="str">
        <f t="shared" si="252"/>
        <v>1+9094.74603531312i</v>
      </c>
      <c r="AN425" s="98">
        <f t="shared" si="268"/>
        <v>9094.7460902899147</v>
      </c>
      <c r="AO425" s="98">
        <f t="shared" si="269"/>
        <v>1.57068637320278</v>
      </c>
      <c r="AP425" s="168" t="str">
        <f t="shared" si="270"/>
        <v>-1.90623943835845+6.81108108443254i</v>
      </c>
      <c r="AQ425" s="98">
        <f t="shared" si="271"/>
        <v>16.991834018616188</v>
      </c>
      <c r="AR425" s="169">
        <f t="shared" si="272"/>
        <v>105.63551226871411</v>
      </c>
      <c r="AS425" s="168" t="str">
        <f t="shared" si="273"/>
        <v>-0.00113889826344122+0.00089664865341967i</v>
      </c>
      <c r="AT425" s="190">
        <f t="shared" si="274"/>
        <v>-56.775598787997353</v>
      </c>
      <c r="AU425" s="169">
        <f t="shared" si="275"/>
        <v>141.78682627663801</v>
      </c>
      <c r="AV425" s="225"/>
      <c r="AX425">
        <f t="shared" si="276"/>
        <v>0</v>
      </c>
      <c r="AY425">
        <f t="shared" si="277"/>
        <v>0</v>
      </c>
    </row>
    <row r="426" spans="14:51" x14ac:dyDescent="0.2">
      <c r="N426" s="170">
        <v>8</v>
      </c>
      <c r="O426" s="199">
        <f t="shared" si="278"/>
        <v>120226.44346174144</v>
      </c>
      <c r="P426" s="189" t="str">
        <f t="shared" si="244"/>
        <v>771.276595744681</v>
      </c>
      <c r="Q426" s="160" t="str">
        <f t="shared" si="245"/>
        <v>1+770513.123555136i</v>
      </c>
      <c r="R426" s="160">
        <f t="shared" si="253"/>
        <v>770513.12355578493</v>
      </c>
      <c r="S426" s="160">
        <f t="shared" si="254"/>
        <v>1.5707950289584687</v>
      </c>
      <c r="T426" s="160" t="str">
        <f t="shared" si="246"/>
        <v>1+0.181297205542385i</v>
      </c>
      <c r="U426" s="160">
        <f t="shared" si="255"/>
        <v>1.0163014694161756</v>
      </c>
      <c r="V426" s="160">
        <f t="shared" si="256"/>
        <v>0.17934914855538187</v>
      </c>
      <c r="W426" s="98" t="str">
        <f t="shared" si="247"/>
        <v>1-0.513675415703423i</v>
      </c>
      <c r="X426" s="160">
        <f t="shared" si="257"/>
        <v>1.1242163638277485</v>
      </c>
      <c r="Y426" s="160">
        <f t="shared" si="258"/>
        <v>-0.47452799233855392</v>
      </c>
      <c r="Z426" s="98" t="str">
        <f t="shared" si="248"/>
        <v>-4.78175908298373-3.51703909882003i</v>
      </c>
      <c r="AA426" s="160">
        <f t="shared" si="259"/>
        <v>5.9358894826576929</v>
      </c>
      <c r="AB426" s="160">
        <f t="shared" si="260"/>
        <v>-2.507428810299742</v>
      </c>
      <c r="AC426" s="171" t="str">
        <f t="shared" si="261"/>
        <v>0.000154373165953209+0.000115287077019908i</v>
      </c>
      <c r="AD426" s="190">
        <f t="shared" si="262"/>
        <v>-74.303664751830482</v>
      </c>
      <c r="AE426" s="169">
        <f t="shared" si="263"/>
        <v>36.752660669906909</v>
      </c>
      <c r="AF426" s="98" t="str">
        <f t="shared" si="249"/>
        <v>-0.0000119284294234592</v>
      </c>
      <c r="AG426" s="98" t="str">
        <f t="shared" si="250"/>
        <v>0.00423193002037312i</v>
      </c>
      <c r="AH426" s="98">
        <f t="shared" si="264"/>
        <v>4.2319300203731199E-3</v>
      </c>
      <c r="AI426" s="98">
        <f t="shared" si="265"/>
        <v>1.5707963267948966</v>
      </c>
      <c r="AJ426" s="98" t="str">
        <f t="shared" si="251"/>
        <v>1+3.65472452713577i</v>
      </c>
      <c r="AK426" s="98">
        <f t="shared" si="266"/>
        <v>3.7890647090341147</v>
      </c>
      <c r="AL426" s="98">
        <f t="shared" si="267"/>
        <v>1.3037150004015867</v>
      </c>
      <c r="AM426" s="98" t="str">
        <f t="shared" si="252"/>
        <v>1+9306.58988450909i</v>
      </c>
      <c r="AN426" s="98">
        <f t="shared" si="268"/>
        <v>9306.5899382344614</v>
      </c>
      <c r="AO426" s="98">
        <f t="shared" si="269"/>
        <v>1.5706888760520832</v>
      </c>
      <c r="AP426" s="168" t="str">
        <f t="shared" si="270"/>
        <v>-1.82642035024728+6.67788192450816i</v>
      </c>
      <c r="AQ426" s="98">
        <f t="shared" si="271"/>
        <v>16.806066886470084</v>
      </c>
      <c r="AR426" s="169">
        <f t="shared" si="272"/>
        <v>105.2964763150239</v>
      </c>
      <c r="AS426" s="168" t="str">
        <f t="shared" si="273"/>
        <v>-0.00105182377958967+0.000820323110958347i</v>
      </c>
      <c r="AT426" s="190">
        <f t="shared" si="274"/>
        <v>-57.497597865360383</v>
      </c>
      <c r="AU426" s="169">
        <f t="shared" si="275"/>
        <v>142.04913698493093</v>
      </c>
      <c r="AV426" s="225"/>
      <c r="AX426">
        <f t="shared" si="276"/>
        <v>0</v>
      </c>
      <c r="AY426">
        <f t="shared" si="277"/>
        <v>0</v>
      </c>
    </row>
    <row r="427" spans="14:51" x14ac:dyDescent="0.2">
      <c r="N427" s="170">
        <v>9</v>
      </c>
      <c r="O427" s="199">
        <f t="shared" si="278"/>
        <v>123026.87708123829</v>
      </c>
      <c r="P427" s="189" t="str">
        <f t="shared" si="244"/>
        <v>771.276595744681</v>
      </c>
      <c r="Q427" s="160" t="str">
        <f t="shared" si="245"/>
        <v>1+788460.679794326i</v>
      </c>
      <c r="R427" s="160">
        <f t="shared" si="253"/>
        <v>788460.67979496007</v>
      </c>
      <c r="S427" s="160">
        <f t="shared" si="254"/>
        <v>1.5707950585008326</v>
      </c>
      <c r="T427" s="160" t="str">
        <f t="shared" si="246"/>
        <v>1+0.185520159951606i</v>
      </c>
      <c r="U427" s="160">
        <f t="shared" si="255"/>
        <v>1.0170632869927365</v>
      </c>
      <c r="V427" s="160">
        <f t="shared" si="256"/>
        <v>0.18343466600416541</v>
      </c>
      <c r="W427" s="98" t="str">
        <f t="shared" si="247"/>
        <v>1-0.525640453196216i</v>
      </c>
      <c r="X427" s="160">
        <f t="shared" si="257"/>
        <v>1.1297335464773646</v>
      </c>
      <c r="Y427" s="160">
        <f t="shared" si="258"/>
        <v>-0.48394893934037964</v>
      </c>
      <c r="Z427" s="98" t="str">
        <f t="shared" si="248"/>
        <v>-5.05424499374485-3.59896146339996i</v>
      </c>
      <c r="AA427" s="160">
        <f t="shared" si="259"/>
        <v>6.2046688930057217</v>
      </c>
      <c r="AB427" s="160">
        <f t="shared" si="260"/>
        <v>-2.5228138068744066</v>
      </c>
      <c r="AC427" s="171" t="str">
        <f t="shared" si="261"/>
        <v>0.000144044542313394+0.000109845637808549i</v>
      </c>
      <c r="AD427" s="190">
        <f t="shared" si="262"/>
        <v>-74.839289901003539</v>
      </c>
      <c r="AE427" s="169">
        <f t="shared" si="263"/>
        <v>37.328456753527043</v>
      </c>
      <c r="AF427" s="98" t="str">
        <f t="shared" si="249"/>
        <v>-0.0000119284294234592</v>
      </c>
      <c r="AG427" s="98" t="str">
        <f t="shared" si="250"/>
        <v>0.00433050433367036i</v>
      </c>
      <c r="AH427" s="98">
        <f t="shared" si="264"/>
        <v>4.3305043336703602E-3</v>
      </c>
      <c r="AI427" s="98">
        <f t="shared" si="265"/>
        <v>1.5707963267948966</v>
      </c>
      <c r="AJ427" s="98" t="str">
        <f t="shared" si="251"/>
        <v>1+3.73985399733462i</v>
      </c>
      <c r="AK427" s="98">
        <f t="shared" si="266"/>
        <v>3.8712411344915907</v>
      </c>
      <c r="AL427" s="98">
        <f t="shared" si="267"/>
        <v>1.3095186358225197</v>
      </c>
      <c r="AM427" s="98" t="str">
        <f t="shared" si="252"/>
        <v>1+9523.3682108491i</v>
      </c>
      <c r="AN427" s="98">
        <f t="shared" si="268"/>
        <v>9523.3682633515327</v>
      </c>
      <c r="AO427" s="98">
        <f t="shared" si="269"/>
        <v>1.5706913219295817</v>
      </c>
      <c r="AP427" s="168" t="str">
        <f t="shared" si="270"/>
        <v>-1.74970299092275+6.54638823750598i</v>
      </c>
      <c r="AQ427" s="98">
        <f t="shared" si="271"/>
        <v>16.619702851387164</v>
      </c>
      <c r="AR427" s="169">
        <f t="shared" si="272"/>
        <v>104.96409263802964</v>
      </c>
      <c r="AS427" s="168" t="str">
        <f t="shared" si="273"/>
        <v>-0.000971127357803071+0.0007507742564639i</v>
      </c>
      <c r="AT427" s="190">
        <f t="shared" si="274"/>
        <v>-58.219587049616379</v>
      </c>
      <c r="AU427" s="169">
        <f t="shared" si="275"/>
        <v>142.29254939155666</v>
      </c>
      <c r="AV427" s="225"/>
      <c r="AX427">
        <f t="shared" si="276"/>
        <v>0</v>
      </c>
      <c r="AY427">
        <f t="shared" si="277"/>
        <v>0</v>
      </c>
    </row>
    <row r="428" spans="14:51" x14ac:dyDescent="0.2">
      <c r="N428" s="170">
        <v>10</v>
      </c>
      <c r="O428" s="199">
        <f t="shared" si="278"/>
        <v>125892.54117941685</v>
      </c>
      <c r="P428" s="189" t="str">
        <f t="shared" si="244"/>
        <v>771.276595744681</v>
      </c>
      <c r="Q428" s="160" t="str">
        <f t="shared" si="245"/>
        <v>1+806826.288322453i</v>
      </c>
      <c r="R428" s="160">
        <f t="shared" si="253"/>
        <v>806826.28832307272</v>
      </c>
      <c r="S428" s="160">
        <f t="shared" si="254"/>
        <v>1.5707950873707299</v>
      </c>
      <c r="T428" s="160" t="str">
        <f t="shared" si="246"/>
        <v>1+0.189841479605283i</v>
      </c>
      <c r="U428" s="160">
        <f t="shared" si="255"/>
        <v>1.017860396802392</v>
      </c>
      <c r="V428" s="160">
        <f t="shared" si="256"/>
        <v>0.18760894487116761</v>
      </c>
      <c r="W428" s="98" t="str">
        <f t="shared" si="247"/>
        <v>1-0.537884192214968i</v>
      </c>
      <c r="X428" s="160">
        <f t="shared" si="257"/>
        <v>1.1354820140516311</v>
      </c>
      <c r="Y428" s="160">
        <f t="shared" si="258"/>
        <v>-0.4934936852967291</v>
      </c>
      <c r="Z428" s="98" t="str">
        <f t="shared" si="248"/>
        <v>-5.33957276984448-3.68279204498566i</v>
      </c>
      <c r="AA428" s="160">
        <f t="shared" si="259"/>
        <v>6.4864469943933338</v>
      </c>
      <c r="AB428" s="160">
        <f t="shared" si="260"/>
        <v>-2.5378016844637141</v>
      </c>
      <c r="AC428" s="171" t="str">
        <f t="shared" si="261"/>
        <v>0.000134442310453491+0.000104583221099898i</v>
      </c>
      <c r="AD428" s="190">
        <f t="shared" si="262"/>
        <v>-75.374165683633933</v>
      </c>
      <c r="AE428" s="169">
        <f t="shared" si="263"/>
        <v>37.879492130896331</v>
      </c>
      <c r="AF428" s="98" t="str">
        <f t="shared" si="249"/>
        <v>-0.0000119284294234592</v>
      </c>
      <c r="AG428" s="98" t="str">
        <f t="shared" si="250"/>
        <v>0.00443137473768632i</v>
      </c>
      <c r="AH428" s="98">
        <f t="shared" si="264"/>
        <v>4.4313747376863201E-3</v>
      </c>
      <c r="AI428" s="98">
        <f t="shared" si="265"/>
        <v>1.5707963267948966</v>
      </c>
      <c r="AJ428" s="98" t="str">
        <f t="shared" si="251"/>
        <v>1+3.82696638762568i</v>
      </c>
      <c r="AK428" s="98">
        <f t="shared" si="266"/>
        <v>3.9554610012003342</v>
      </c>
      <c r="AL428" s="98">
        <f t="shared" si="267"/>
        <v>1.3152076228370762</v>
      </c>
      <c r="AM428" s="98" t="str">
        <f t="shared" si="252"/>
        <v>1+9745.1959530712i</v>
      </c>
      <c r="AN428" s="98">
        <f t="shared" si="268"/>
        <v>9745.1960043785311</v>
      </c>
      <c r="AO428" s="98">
        <f t="shared" si="269"/>
        <v>1.5706937121321125</v>
      </c>
      <c r="AP428" s="168" t="str">
        <f t="shared" si="270"/>
        <v>-1.67598669987853+6.41663657893281i</v>
      </c>
      <c r="AQ428" s="98">
        <f t="shared" si="271"/>
        <v>16.432765186017583</v>
      </c>
      <c r="AR428" s="169">
        <f t="shared" si="272"/>
        <v>104.63827464090799</v>
      </c>
      <c r="AS428" s="168" t="str">
        <f t="shared" si="273"/>
        <v>-0.000896396046273214+0.000687387359418227i</v>
      </c>
      <c r="AT428" s="190">
        <f t="shared" si="274"/>
        <v>-58.94140049761635</v>
      </c>
      <c r="AU428" s="169">
        <f t="shared" si="275"/>
        <v>142.5177667718043</v>
      </c>
      <c r="AV428" s="225"/>
      <c r="AX428">
        <f t="shared" si="276"/>
        <v>0</v>
      </c>
      <c r="AY428">
        <f t="shared" si="277"/>
        <v>0</v>
      </c>
    </row>
    <row r="429" spans="14:51" x14ac:dyDescent="0.2">
      <c r="N429" s="170">
        <v>11</v>
      </c>
      <c r="O429" s="199">
        <f t="shared" si="278"/>
        <v>128824.95516931375</v>
      </c>
      <c r="P429" s="189" t="str">
        <f t="shared" si="244"/>
        <v>771.276595744681</v>
      </c>
      <c r="Q429" s="160" t="str">
        <f t="shared" si="245"/>
        <v>1+825619.686828259i</v>
      </c>
      <c r="R429" s="160">
        <f t="shared" si="253"/>
        <v>825619.68682886451</v>
      </c>
      <c r="S429" s="160">
        <f t="shared" si="254"/>
        <v>1.5707951155834685</v>
      </c>
      <c r="T429" s="160" t="str">
        <f t="shared" si="246"/>
        <v>1+0.194263455724296i</v>
      </c>
      <c r="U429" s="160">
        <f t="shared" si="255"/>
        <v>1.0186944047308524</v>
      </c>
      <c r="V429" s="160">
        <f t="shared" si="256"/>
        <v>0.19187361624949104</v>
      </c>
      <c r="W429" s="98" t="str">
        <f t="shared" si="247"/>
        <v>1-0.550413124552172i</v>
      </c>
      <c r="X429" s="160">
        <f t="shared" si="257"/>
        <v>1.1414703709160763</v>
      </c>
      <c r="Y429" s="160">
        <f t="shared" si="258"/>
        <v>-0.50316033375484648</v>
      </c>
      <c r="Z429" s="98" t="str">
        <f t="shared" si="248"/>
        <v>-5.63834762975028-3.76857529166114i</v>
      </c>
      <c r="AA429" s="160">
        <f t="shared" si="259"/>
        <v>6.781823038300943</v>
      </c>
      <c r="AB429" s="160">
        <f t="shared" si="260"/>
        <v>-2.5524028108738657</v>
      </c>
      <c r="AC429" s="171" t="str">
        <f t="shared" si="261"/>
        <v>0.000125515977119074+0.0000995061487248782i</v>
      </c>
      <c r="AD429" s="190">
        <f t="shared" si="262"/>
        <v>-75.908155533692437</v>
      </c>
      <c r="AE429" s="169">
        <f t="shared" si="263"/>
        <v>38.406562946165351</v>
      </c>
      <c r="AF429" s="98" t="str">
        <f t="shared" si="249"/>
        <v>-0.0000119284294234592</v>
      </c>
      <c r="AG429" s="98" t="str">
        <f t="shared" si="250"/>
        <v>0.00453459471524438i</v>
      </c>
      <c r="AH429" s="98">
        <f t="shared" si="264"/>
        <v>4.5345947152443796E-3</v>
      </c>
      <c r="AI429" s="98">
        <f t="shared" si="265"/>
        <v>1.5707963267948966</v>
      </c>
      <c r="AJ429" s="98" t="str">
        <f t="shared" si="251"/>
        <v>1+3.91610788615136i</v>
      </c>
      <c r="AK429" s="98">
        <f t="shared" si="266"/>
        <v>4.0417695352378606</v>
      </c>
      <c r="AL429" s="98">
        <f t="shared" si="267"/>
        <v>1.3207835042406941</v>
      </c>
      <c r="AM429" s="98" t="str">
        <f t="shared" si="252"/>
        <v>1+9972.19072718054i</v>
      </c>
      <c r="AN429" s="98">
        <f t="shared" si="268"/>
        <v>9972.1907773199728</v>
      </c>
      <c r="AO429" s="98">
        <f t="shared" si="269"/>
        <v>1.5706960479269922</v>
      </c>
      <c r="AP429" s="168" t="str">
        <f t="shared" si="270"/>
        <v>-1.60517242189989+6.28865891929416i</v>
      </c>
      <c r="AQ429" s="98">
        <f t="shared" si="271"/>
        <v>16.245276401288962</v>
      </c>
      <c r="AR429" s="169">
        <f t="shared" si="272"/>
        <v>104.31893400060363</v>
      </c>
      <c r="AS429" s="168" t="str">
        <f t="shared" si="273"/>
        <v>-0.000827235014682672+0.000629602643281143i</v>
      </c>
      <c r="AT429" s="190">
        <f t="shared" si="274"/>
        <v>-59.662879132403475</v>
      </c>
      <c r="AU429" s="169">
        <f t="shared" si="275"/>
        <v>142.725496946769</v>
      </c>
      <c r="AV429" s="225"/>
      <c r="AX429">
        <f t="shared" si="276"/>
        <v>0</v>
      </c>
      <c r="AY429">
        <f t="shared" si="277"/>
        <v>0</v>
      </c>
    </row>
    <row r="430" spans="14:51" x14ac:dyDescent="0.2">
      <c r="N430" s="170">
        <v>12</v>
      </c>
      <c r="O430" s="199">
        <f t="shared" si="278"/>
        <v>131825.67385564081</v>
      </c>
      <c r="P430" s="189" t="str">
        <f t="shared" si="244"/>
        <v>771.276595744681</v>
      </c>
      <c r="Q430" s="160" t="str">
        <f t="shared" si="245"/>
        <v>1+844850.839820386i</v>
      </c>
      <c r="R430" s="160">
        <f t="shared" si="253"/>
        <v>844850.83982097788</v>
      </c>
      <c r="S430" s="160">
        <f t="shared" si="254"/>
        <v>1.5707951431540066</v>
      </c>
      <c r="T430" s="160" t="str">
        <f t="shared" si="246"/>
        <v>1+0.198788432898914i</v>
      </c>
      <c r="U430" s="160">
        <f t="shared" si="255"/>
        <v>1.0195669870363624</v>
      </c>
      <c r="V430" s="160">
        <f t="shared" si="256"/>
        <v>0.19623032051731759</v>
      </c>
      <c r="W430" s="98" t="str">
        <f t="shared" si="247"/>
        <v>1-0.56323389321359i</v>
      </c>
      <c r="X430" s="160">
        <f t="shared" si="257"/>
        <v>1.1477074620584018</v>
      </c>
      <c r="Y430" s="160">
        <f t="shared" si="258"/>
        <v>-0.51294678299625263</v>
      </c>
      <c r="Z430" s="98" t="str">
        <f t="shared" si="248"/>
        <v>-5.95120331499752-3.85635668683924i</v>
      </c>
      <c r="AA430" s="160">
        <f t="shared" si="259"/>
        <v>7.0914249479612481</v>
      </c>
      <c r="AB430" s="160">
        <f t="shared" si="260"/>
        <v>-2.566627422644733</v>
      </c>
      <c r="AC430" s="171" t="str">
        <f t="shared" si="261"/>
        <v>0.000117218140845594+0.0000946184879800736i</v>
      </c>
      <c r="AD430" s="190">
        <f t="shared" si="262"/>
        <v>-76.441128558295802</v>
      </c>
      <c r="AE430" s="169">
        <f t="shared" si="263"/>
        <v>38.910470115354251</v>
      </c>
      <c r="AF430" s="98" t="str">
        <f t="shared" si="249"/>
        <v>-0.0000119284294234592</v>
      </c>
      <c r="AG430" s="98" t="str">
        <f t="shared" si="250"/>
        <v>0.00464021899494291i</v>
      </c>
      <c r="AH430" s="98">
        <f t="shared" si="264"/>
        <v>4.64021899494291E-3</v>
      </c>
      <c r="AI430" s="98">
        <f t="shared" si="265"/>
        <v>1.5707963267948966</v>
      </c>
      <c r="AJ430" s="98" t="str">
        <f t="shared" si="251"/>
        <v>1+4.00732575691408i</v>
      </c>
      <c r="AK430" s="98">
        <f t="shared" si="266"/>
        <v>4.1302130359131599</v>
      </c>
      <c r="AL430" s="98">
        <f t="shared" si="267"/>
        <v>1.3262478490050531</v>
      </c>
      <c r="AM430" s="98" t="str">
        <f t="shared" si="252"/>
        <v>1+10204.4728888109i</v>
      </c>
      <c r="AN430" s="98">
        <f t="shared" si="268"/>
        <v>10204.472937809021</v>
      </c>
      <c r="AO430" s="98">
        <f t="shared" si="269"/>
        <v>1.5706983305526905</v>
      </c>
      <c r="AP430" s="168" t="str">
        <f t="shared" si="270"/>
        <v>-1.53716283464324+6.1624828807123i</v>
      </c>
      <c r="AQ430" s="98">
        <f t="shared" si="271"/>
        <v>16.057258259148</v>
      </c>
      <c r="AR430" s="169">
        <f t="shared" si="272"/>
        <v>104.00598089262019</v>
      </c>
      <c r="AS430" s="168" t="str">
        <f t="shared" si="273"/>
        <v>-0.00076326818202991+0.000576910763076789i</v>
      </c>
      <c r="AT430" s="190">
        <f t="shared" si="274"/>
        <v>-60.383870299147802</v>
      </c>
      <c r="AU430" s="169">
        <f t="shared" si="275"/>
        <v>142.91645100797444</v>
      </c>
      <c r="AV430" s="225"/>
      <c r="AX430">
        <f t="shared" si="276"/>
        <v>0</v>
      </c>
      <c r="AY430">
        <f t="shared" si="277"/>
        <v>0</v>
      </c>
    </row>
    <row r="431" spans="14:51" x14ac:dyDescent="0.2">
      <c r="N431" s="170">
        <v>13</v>
      </c>
      <c r="O431" s="199">
        <f t="shared" si="278"/>
        <v>134896.28825916545</v>
      </c>
      <c r="P431" s="189" t="str">
        <f t="shared" si="244"/>
        <v>771.276595744681</v>
      </c>
      <c r="Q431" s="160" t="str">
        <f t="shared" si="245"/>
        <v>1+864529.943910711i</v>
      </c>
      <c r="R431" s="160">
        <f t="shared" si="253"/>
        <v>864529.94391128933</v>
      </c>
      <c r="S431" s="160">
        <f t="shared" si="254"/>
        <v>1.5707951700969627</v>
      </c>
      <c r="T431" s="160" t="str">
        <f t="shared" si="246"/>
        <v>1+0.203418810331932i</v>
      </c>
      <c r="U431" s="160">
        <f t="shared" si="255"/>
        <v>1.0204798931859749</v>
      </c>
      <c r="V431" s="160">
        <f t="shared" si="256"/>
        <v>0.20068070578732183</v>
      </c>
      <c r="W431" s="98" t="str">
        <f t="shared" si="247"/>
        <v>1-0.576353295940473i</v>
      </c>
      <c r="X431" s="160">
        <f t="shared" si="257"/>
        <v>1.1542023746906114</v>
      </c>
      <c r="Y431" s="160">
        <f t="shared" si="258"/>
        <v>-0.52285072286498546</v>
      </c>
      <c r="Z431" s="98" t="str">
        <f t="shared" si="248"/>
        <v>-6.27880343443995-3.94618277337762i</v>
      </c>
      <c r="AA431" s="160">
        <f t="shared" si="259"/>
        <v>7.415910668908924</v>
      </c>
      <c r="AB431" s="160">
        <f t="shared" si="260"/>
        <v>-2.5804856012063406</v>
      </c>
      <c r="AC431" s="171" t="str">
        <f t="shared" si="261"/>
        <v>0.000109504384998964+0.0000899223707580775i</v>
      </c>
      <c r="AD431" s="190">
        <f t="shared" si="262"/>
        <v>-76.9729592250645</v>
      </c>
      <c r="AE431" s="169">
        <f t="shared" si="263"/>
        <v>39.392018053104337</v>
      </c>
      <c r="AF431" s="98" t="str">
        <f t="shared" si="249"/>
        <v>-0.0000119284294234592</v>
      </c>
      <c r="AG431" s="98" t="str">
        <f t="shared" si="250"/>
        <v>0.00474830358017312i</v>
      </c>
      <c r="AH431" s="98">
        <f t="shared" si="264"/>
        <v>4.7483035801731202E-3</v>
      </c>
      <c r="AI431" s="98">
        <f t="shared" si="265"/>
        <v>1.5707963267948966</v>
      </c>
      <c r="AJ431" s="98" t="str">
        <f t="shared" si="251"/>
        <v>1+4.10066836483634i</v>
      </c>
      <c r="AK431" s="98">
        <f t="shared" si="266"/>
        <v>4.2208389022052879</v>
      </c>
      <c r="AL431" s="98">
        <f t="shared" si="267"/>
        <v>1.3316022485614654</v>
      </c>
      <c r="AM431" s="98" t="str">
        <f t="shared" si="252"/>
        <v>1+10442.1655970392i</v>
      </c>
      <c r="AN431" s="98">
        <f t="shared" si="268"/>
        <v>10442.165644921986</v>
      </c>
      <c r="AO431" s="98">
        <f t="shared" si="269"/>
        <v>1.5707005612194851</v>
      </c>
      <c r="AP431" s="168" t="str">
        <f t="shared" si="270"/>
        <v>-1.47186245923145+6.03813196945048i</v>
      </c>
      <c r="AQ431" s="98">
        <f t="shared" si="271"/>
        <v>15.868731786209757</v>
      </c>
      <c r="AR431" s="169">
        <f t="shared" si="272"/>
        <v>103.69932420400394</v>
      </c>
      <c r="AS431" s="168" t="str">
        <f t="shared" si="273"/>
        <v>-0.000704138535044329+0.000528848566093352i</v>
      </c>
      <c r="AT431" s="190">
        <f t="shared" si="274"/>
        <v>-61.104227438854736</v>
      </c>
      <c r="AU431" s="169">
        <f t="shared" si="275"/>
        <v>143.09134225710824</v>
      </c>
      <c r="AV431" s="225"/>
      <c r="AX431">
        <f t="shared" si="276"/>
        <v>0</v>
      </c>
      <c r="AY431">
        <f t="shared" si="277"/>
        <v>0</v>
      </c>
    </row>
    <row r="432" spans="14:51" x14ac:dyDescent="0.2">
      <c r="N432" s="170">
        <v>14</v>
      </c>
      <c r="O432" s="199">
        <f t="shared" si="278"/>
        <v>138038.42646028858</v>
      </c>
      <c r="P432" s="189" t="str">
        <f t="shared" si="244"/>
        <v>771.276595744681</v>
      </c>
      <c r="Q432" s="160" t="str">
        <f t="shared" si="245"/>
        <v>1+884667.433220705i</v>
      </c>
      <c r="R432" s="160">
        <f t="shared" si="253"/>
        <v>884667.43322127021</v>
      </c>
      <c r="S432" s="160">
        <f t="shared" si="254"/>
        <v>1.570795196426622</v>
      </c>
      <c r="T432" s="160" t="str">
        <f t="shared" si="246"/>
        <v>1+0.208157043110754i</v>
      </c>
      <c r="U432" s="160">
        <f t="shared" si="255"/>
        <v>1.0214349487836278</v>
      </c>
      <c r="V432" s="160">
        <f t="shared" si="256"/>
        <v>0.20522642622533874</v>
      </c>
      <c r="W432" s="98" t="str">
        <f t="shared" si="247"/>
        <v>1-0.589778288813802i</v>
      </c>
      <c r="X432" s="160">
        <f t="shared" si="257"/>
        <v>1.1609644395743293</v>
      </c>
      <c r="Y432" s="160">
        <f t="shared" si="258"/>
        <v>-0.5328696322459634</v>
      </c>
      <c r="Z432" s="98" t="str">
        <f t="shared" si="248"/>
        <v>-6.62184287185301-4.03810117825635i</v>
      </c>
      <c r="AA432" s="160">
        <f t="shared" si="259"/>
        <v>7.7559695812545479</v>
      </c>
      <c r="AB432" s="160">
        <f t="shared" si="260"/>
        <v>-2.593987253212314</v>
      </c>
      <c r="AC432" s="171" t="str">
        <f t="shared" si="261"/>
        <v>0.000102333158983286+0.0000854182794105165i</v>
      </c>
      <c r="AD432" s="190">
        <f t="shared" si="262"/>
        <v>-77.503527069418922</v>
      </c>
      <c r="AE432" s="169">
        <f t="shared" si="263"/>
        <v>39.852013594013044</v>
      </c>
      <c r="AF432" s="98" t="str">
        <f t="shared" si="249"/>
        <v>-0.0000119284294234592</v>
      </c>
      <c r="AG432" s="98" t="str">
        <f t="shared" si="250"/>
        <v>0.00485890577881277i</v>
      </c>
      <c r="AH432" s="98">
        <f t="shared" si="264"/>
        <v>4.8589057788127697E-3</v>
      </c>
      <c r="AI432" s="98">
        <f t="shared" si="265"/>
        <v>1.5707963267948966</v>
      </c>
      <c r="AJ432" s="98" t="str">
        <f t="shared" si="251"/>
        <v>1+4.19618520140441i</v>
      </c>
      <c r="AK432" s="98">
        <f t="shared" si="266"/>
        <v>4.3136956596966103</v>
      </c>
      <c r="AL432" s="98">
        <f t="shared" si="267"/>
        <v>1.3368483132863838</v>
      </c>
      <c r="AM432" s="98" t="str">
        <f t="shared" si="252"/>
        <v>1+10685.3948796854i</v>
      </c>
      <c r="AN432" s="98">
        <f t="shared" si="268"/>
        <v>10685.394926478242</v>
      </c>
      <c r="AO432" s="98">
        <f t="shared" si="269"/>
        <v>1.5707027411101053</v>
      </c>
      <c r="AP432" s="168" t="str">
        <f t="shared" si="270"/>
        <v>-1.40917775496212+5.91562580359748i</v>
      </c>
      <c r="AQ432" s="98">
        <f t="shared" si="271"/>
        <v>15.679717288188503</v>
      </c>
      <c r="AR432" s="169">
        <f t="shared" si="272"/>
        <v>103.398871734746</v>
      </c>
      <c r="AS432" s="168" t="str">
        <f t="shared" si="273"/>
        <v>-0.000649508189013999+0.000484995136632731i</v>
      </c>
      <c r="AT432" s="190">
        <f t="shared" si="274"/>
        <v>-61.823809781230423</v>
      </c>
      <c r="AU432" s="169">
        <f t="shared" si="275"/>
        <v>143.25088532875904</v>
      </c>
      <c r="AV432" s="225"/>
      <c r="AX432">
        <f t="shared" si="276"/>
        <v>0</v>
      </c>
      <c r="AY432">
        <f t="shared" si="277"/>
        <v>0</v>
      </c>
    </row>
    <row r="433" spans="14:51" x14ac:dyDescent="0.2">
      <c r="N433" s="170">
        <v>15</v>
      </c>
      <c r="O433" s="199">
        <f t="shared" si="278"/>
        <v>141253.75446227577</v>
      </c>
      <c r="P433" s="189" t="str">
        <f t="shared" si="244"/>
        <v>771.276595744681</v>
      </c>
      <c r="Q433" s="160" t="str">
        <f t="shared" si="245"/>
        <v>1+905273.984913751i</v>
      </c>
      <c r="R433" s="160">
        <f t="shared" si="253"/>
        <v>905273.98491430318</v>
      </c>
      <c r="S433" s="160">
        <f t="shared" si="254"/>
        <v>1.5707952221569454</v>
      </c>
      <c r="T433" s="160" t="str">
        <f t="shared" si="246"/>
        <v>1+0.213005643509118i</v>
      </c>
      <c r="U433" s="160">
        <f t="shared" si="255"/>
        <v>1.0224340585909359</v>
      </c>
      <c r="V433" s="160">
        <f t="shared" si="256"/>
        <v>0.20986914023185288</v>
      </c>
      <c r="W433" s="98" t="str">
        <f t="shared" si="247"/>
        <v>1-0.603515989942499i</v>
      </c>
      <c r="X433" s="160">
        <f t="shared" si="257"/>
        <v>1.1680032320658511</v>
      </c>
      <c r="Y433" s="160">
        <f t="shared" si="258"/>
        <v>-0.54300077724643792</v>
      </c>
      <c r="Z433" s="98" t="str">
        <f t="shared" si="248"/>
        <v>-6.98104925987557-4.13216063783039i</v>
      </c>
      <c r="AA433" s="160">
        <f t="shared" si="259"/>
        <v>8.1123239768665609</v>
      </c>
      <c r="AB433" s="160">
        <f t="shared" si="260"/>
        <v>-2.6071420945817225</v>
      </c>
      <c r="AC433" s="171" t="str">
        <f t="shared" si="261"/>
        <v>0.0000956656512599742+0.000081105301634724i</v>
      </c>
      <c r="AD433" s="190">
        <f t="shared" si="262"/>
        <v>-78.032716422545093</v>
      </c>
      <c r="AE433" s="169">
        <f t="shared" si="263"/>
        <v>40.291265078302679</v>
      </c>
      <c r="AF433" s="98" t="str">
        <f t="shared" si="249"/>
        <v>-0.0000119284294234592</v>
      </c>
      <c r="AG433" s="98" t="str">
        <f t="shared" si="250"/>
        <v>0.00497208423361158i</v>
      </c>
      <c r="AH433" s="98">
        <f t="shared" si="264"/>
        <v>4.9720842336115796E-3</v>
      </c>
      <c r="AI433" s="98">
        <f t="shared" si="265"/>
        <v>1.5707963267948966</v>
      </c>
      <c r="AJ433" s="98" t="str">
        <f t="shared" si="251"/>
        <v>1+4.29392691090935i</v>
      </c>
      <c r="AK433" s="98">
        <f t="shared" si="266"/>
        <v>4.4088329880175223</v>
      </c>
      <c r="AL433" s="98">
        <f t="shared" si="267"/>
        <v>1.3419876691844983</v>
      </c>
      <c r="AM433" s="98" t="str">
        <f t="shared" si="252"/>
        <v>1+10934.2897001347i</v>
      </c>
      <c r="AN433" s="98">
        <f t="shared" si="268"/>
        <v>10934.289745862407</v>
      </c>
      <c r="AO433" s="98">
        <f t="shared" si="269"/>
        <v>1.570704871380358</v>
      </c>
      <c r="AP433" s="168" t="str">
        <f t="shared" si="270"/>
        <v>-1.34901719920908+5.79498033528126i</v>
      </c>
      <c r="AQ433" s="98">
        <f t="shared" si="271"/>
        <v>15.490234364995079</v>
      </c>
      <c r="AR433" s="169">
        <f t="shared" si="272"/>
        <v>103.10453038786304</v>
      </c>
      <c r="AS433" s="168" t="str">
        <f t="shared" si="273"/>
        <v>-0.000599058236983524+0.000444968120961142i</v>
      </c>
      <c r="AT433" s="190">
        <f t="shared" si="274"/>
        <v>-62.542482057550011</v>
      </c>
      <c r="AU433" s="169">
        <f t="shared" si="275"/>
        <v>143.39579546616577</v>
      </c>
      <c r="AV433" s="225"/>
      <c r="AX433">
        <f t="shared" si="276"/>
        <v>0</v>
      </c>
      <c r="AY433">
        <f t="shared" si="277"/>
        <v>0</v>
      </c>
    </row>
    <row r="434" spans="14:51" x14ac:dyDescent="0.2">
      <c r="N434" s="170">
        <v>16</v>
      </c>
      <c r="O434" s="199">
        <f t="shared" si="278"/>
        <v>144543.97707459307</v>
      </c>
      <c r="P434" s="189" t="str">
        <f t="shared" si="244"/>
        <v>771.276595744681</v>
      </c>
      <c r="Q434" s="160" t="str">
        <f t="shared" si="245"/>
        <v>1+926360.524856314i</v>
      </c>
      <c r="R434" s="160">
        <f t="shared" si="253"/>
        <v>926360.52485685365</v>
      </c>
      <c r="S434" s="160">
        <f t="shared" si="254"/>
        <v>1.5707952473015749</v>
      </c>
      <c r="T434" s="160" t="str">
        <f t="shared" si="246"/>
        <v>1+0.217967182319132i</v>
      </c>
      <c r="U434" s="160">
        <f t="shared" si="255"/>
        <v>1.023479209641379</v>
      </c>
      <c r="V434" s="160">
        <f t="shared" si="256"/>
        <v>0.21461050847977098</v>
      </c>
      <c r="W434" s="98" t="str">
        <f t="shared" si="247"/>
        <v>1-0.617573683237541i</v>
      </c>
      <c r="X434" s="160">
        <f t="shared" si="257"/>
        <v>1.175328572879764</v>
      </c>
      <c r="Y434" s="160">
        <f t="shared" si="258"/>
        <v>-0.55324121013128658</v>
      </c>
      <c r="Z434" s="98" t="str">
        <f t="shared" si="248"/>
        <v>-7.35718452341621-4.2284110236702i</v>
      </c>
      <c r="AA434" s="160">
        <f t="shared" si="259"/>
        <v>8.485730604767669</v>
      </c>
      <c r="AB434" s="160">
        <f t="shared" si="260"/>
        <v>-2.6199596378167316</v>
      </c>
      <c r="AC434" s="171" t="str">
        <f t="shared" si="261"/>
        <v>0.0000894656572331138+0.0000769813567326068i</v>
      </c>
      <c r="AD434" s="190">
        <f t="shared" si="262"/>
        <v>-78.560416160305891</v>
      </c>
      <c r="AE434" s="169">
        <f t="shared" si="263"/>
        <v>40.710581573748208</v>
      </c>
      <c r="AF434" s="98" t="str">
        <f t="shared" si="249"/>
        <v>-0.0000119284294234592</v>
      </c>
      <c r="AG434" s="98" t="str">
        <f t="shared" si="250"/>
        <v>0.00508789895328435i</v>
      </c>
      <c r="AH434" s="98">
        <f t="shared" si="264"/>
        <v>5.0878989532843503E-3</v>
      </c>
      <c r="AI434" s="98">
        <f t="shared" si="265"/>
        <v>1.5707963267948966</v>
      </c>
      <c r="AJ434" s="98" t="str">
        <f t="shared" si="251"/>
        <v>1+4.39394531729928i</v>
      </c>
      <c r="AK434" s="98">
        <f t="shared" si="266"/>
        <v>4.5063017488197863</v>
      </c>
      <c r="AL434" s="98">
        <f t="shared" si="267"/>
        <v>1.3470219547643769</v>
      </c>
      <c r="AM434" s="98" t="str">
        <f t="shared" si="252"/>
        <v>1+11188.9820257155i</v>
      </c>
      <c r="AN434" s="98">
        <f t="shared" si="268"/>
        <v>11188.982070402317</v>
      </c>
      <c r="AO434" s="98">
        <f t="shared" si="269"/>
        <v>1.5707069531597402</v>
      </c>
      <c r="AP434" s="168" t="str">
        <f t="shared" si="270"/>
        <v>-1.29129135357254+5.67620806688172i</v>
      </c>
      <c r="AQ434" s="98">
        <f t="shared" si="271"/>
        <v>15.300301926389622</v>
      </c>
      <c r="AR434" s="169">
        <f t="shared" si="272"/>
        <v>102.81620634844499</v>
      </c>
      <c r="AS434" s="168" t="str">
        <f t="shared" si="273"/>
        <v>-0.000552488427711927+0.000408420324960377i</v>
      </c>
      <c r="AT434" s="190">
        <f t="shared" si="274"/>
        <v>-63.260114233916255</v>
      </c>
      <c r="AU434" s="169">
        <f t="shared" si="275"/>
        <v>143.52678792219322</v>
      </c>
      <c r="AV434" s="225"/>
      <c r="AX434">
        <f t="shared" si="276"/>
        <v>0</v>
      </c>
      <c r="AY434">
        <f t="shared" si="277"/>
        <v>0</v>
      </c>
    </row>
    <row r="435" spans="14:51" x14ac:dyDescent="0.2">
      <c r="N435" s="170">
        <v>17</v>
      </c>
      <c r="O435" s="199">
        <f t="shared" si="278"/>
        <v>147910.83881682079</v>
      </c>
      <c r="P435" s="189" t="str">
        <f t="shared" si="244"/>
        <v>771.276595744681</v>
      </c>
      <c r="Q435" s="160" t="str">
        <f t="shared" si="245"/>
        <v>1+947938.233410985i</v>
      </c>
      <c r="R435" s="160">
        <f t="shared" si="253"/>
        <v>947938.23341151245</v>
      </c>
      <c r="S435" s="160">
        <f t="shared" si="254"/>
        <v>1.5707952718738429</v>
      </c>
      <c r="T435" s="160" t="str">
        <f t="shared" si="246"/>
        <v>1+0.223044290214349i</v>
      </c>
      <c r="U435" s="160">
        <f t="shared" si="255"/>
        <v>1.0245724744483538</v>
      </c>
      <c r="V435" s="160">
        <f t="shared" si="256"/>
        <v>0.21945219180194622</v>
      </c>
      <c r="W435" s="98" t="str">
        <f t="shared" si="247"/>
        <v>1-0.631958822273989i</v>
      </c>
      <c r="X435" s="160">
        <f t="shared" si="257"/>
        <v>1.1829505285724875</v>
      </c>
      <c r="Y435" s="160">
        <f t="shared" si="258"/>
        <v>-0.5635877690600245</v>
      </c>
      <c r="Z435" s="98" t="str">
        <f t="shared" si="248"/>
        <v>-7.75104649579822-4.3269033690044i</v>
      </c>
      <c r="AA435" s="160">
        <f t="shared" si="259"/>
        <v>8.8769822881837204</v>
      </c>
      <c r="AB435" s="160">
        <f t="shared" si="260"/>
        <v>-2.632449182199466</v>
      </c>
      <c r="AC435" s="171" t="str">
        <f t="shared" si="261"/>
        <v>0.0000836994445327346+0.0000730433955865023i</v>
      </c>
      <c r="AD435" s="190">
        <f t="shared" si="262"/>
        <v>-79.086519472997537</v>
      </c>
      <c r="AE435" s="169">
        <f t="shared" si="263"/>
        <v>41.110772208032472</v>
      </c>
      <c r="AF435" s="98" t="str">
        <f t="shared" si="249"/>
        <v>-0.0000119284294234592</v>
      </c>
      <c r="AG435" s="98" t="str">
        <f t="shared" si="250"/>
        <v>0.00520641134432845i</v>
      </c>
      <c r="AH435" s="98">
        <f t="shared" si="264"/>
        <v>5.2064113443284496E-3</v>
      </c>
      <c r="AI435" s="98">
        <f t="shared" si="265"/>
        <v>1.5707963267948966</v>
      </c>
      <c r="AJ435" s="98" t="str">
        <f t="shared" si="251"/>
        <v>1+4.49629345165718i</v>
      </c>
      <c r="AK435" s="98">
        <f t="shared" si="266"/>
        <v>4.6061540142960089</v>
      </c>
      <c r="AL435" s="98">
        <f t="shared" si="267"/>
        <v>1.3519528181011873</v>
      </c>
      <c r="AM435" s="98" t="str">
        <f t="shared" si="252"/>
        <v>1+11449.6068976699i</v>
      </c>
      <c r="AN435" s="98">
        <f t="shared" si="268"/>
        <v>11449.606941339523</v>
      </c>
      <c r="AO435" s="98">
        <f t="shared" si="269"/>
        <v>1.5707089875520392</v>
      </c>
      <c r="AP435" s="168" t="str">
        <f t="shared" si="270"/>
        <v>-1.23591291730421+5.55931826081029i</v>
      </c>
      <c r="AQ435" s="98">
        <f t="shared" si="271"/>
        <v>15.10993820808941</v>
      </c>
      <c r="AR435" s="169">
        <f t="shared" si="272"/>
        <v>102.53380525198239</v>
      </c>
      <c r="AS435" s="168" t="str">
        <f t="shared" si="273"/>
        <v>-0.000509516707584826+0.00037503657428139i</v>
      </c>
      <c r="AT435" s="190">
        <f t="shared" si="274"/>
        <v>-63.97658126490812</v>
      </c>
      <c r="AU435" s="169">
        <f t="shared" si="275"/>
        <v>143.64457746001486</v>
      </c>
      <c r="AV435" s="225"/>
      <c r="AX435">
        <f t="shared" si="276"/>
        <v>0</v>
      </c>
      <c r="AY435">
        <f t="shared" si="277"/>
        <v>0</v>
      </c>
    </row>
    <row r="436" spans="14:51" x14ac:dyDescent="0.2">
      <c r="N436" s="170">
        <v>18</v>
      </c>
      <c r="O436" s="199">
        <f t="shared" si="278"/>
        <v>151356.12484362084</v>
      </c>
      <c r="P436" s="189" t="str">
        <f t="shared" si="244"/>
        <v>771.276595744681</v>
      </c>
      <c r="Q436" s="160" t="str">
        <f t="shared" si="245"/>
        <v>1+970018.55136446i</v>
      </c>
      <c r="R436" s="160">
        <f t="shared" si="253"/>
        <v>970018.5513649754</v>
      </c>
      <c r="S436" s="160">
        <f t="shared" si="254"/>
        <v>1.5707952958867779</v>
      </c>
      <c r="T436" s="160" t="str">
        <f t="shared" si="246"/>
        <v>1+0.228239659144579i</v>
      </c>
      <c r="U436" s="160">
        <f t="shared" si="255"/>
        <v>1.0257160143072903</v>
      </c>
      <c r="V436" s="160">
        <f t="shared" si="256"/>
        <v>0.22439584892188547</v>
      </c>
      <c r="W436" s="98" t="str">
        <f t="shared" si="247"/>
        <v>1-0.646679034242972i</v>
      </c>
      <c r="X436" s="160">
        <f t="shared" si="257"/>
        <v>1.1908794117497468</v>
      </c>
      <c r="Y436" s="160">
        <f t="shared" si="258"/>
        <v>-0.57403707866975107</v>
      </c>
      <c r="Z436" s="98" t="str">
        <f t="shared" si="248"/>
        <v>-8.16347061107111-4.42768989577819i</v>
      </c>
      <c r="AA436" s="160">
        <f t="shared" si="259"/>
        <v>9.2869096168207648</v>
      </c>
      <c r="AB436" s="160">
        <f t="shared" si="260"/>
        <v>-2.6446198065066704</v>
      </c>
      <c r="AC436" s="171" t="str">
        <f t="shared" si="261"/>
        <v>0.0000783356177682226+0.0000692875766466159i</v>
      </c>
      <c r="AD436" s="190">
        <f t="shared" si="262"/>
        <v>-79.610923655529561</v>
      </c>
      <c r="AE436" s="169">
        <f t="shared" si="263"/>
        <v>41.492645587904235</v>
      </c>
      <c r="AF436" s="98" t="str">
        <f t="shared" si="249"/>
        <v>-0.0000119284294234592</v>
      </c>
      <c r="AG436" s="98" t="str">
        <f t="shared" si="250"/>
        <v>0.00532768424358233i</v>
      </c>
      <c r="AH436" s="98">
        <f t="shared" si="264"/>
        <v>5.3276842435823297E-3</v>
      </c>
      <c r="AI436" s="98">
        <f t="shared" si="265"/>
        <v>1.5707963267948966</v>
      </c>
      <c r="AJ436" s="98" t="str">
        <f t="shared" si="251"/>
        <v>1+4.60102558031863i</v>
      </c>
      <c r="AK436" s="98">
        <f t="shared" si="266"/>
        <v>4.7084430962629664</v>
      </c>
      <c r="AL436" s="98">
        <f t="shared" si="267"/>
        <v>1.3567819140806836</v>
      </c>
      <c r="AM436" s="98" t="str">
        <f t="shared" si="252"/>
        <v>1+11716.302502755i</v>
      </c>
      <c r="AN436" s="98">
        <f t="shared" si="268"/>
        <v>11716.302545430579</v>
      </c>
      <c r="AO436" s="98">
        <f t="shared" si="269"/>
        <v>1.5707109756359166</v>
      </c>
      <c r="AP436" s="168" t="str">
        <f t="shared" si="270"/>
        <v>-1.18279676899999+5.44431714251174i</v>
      </c>
      <c r="AQ436" s="98">
        <f t="shared" si="271"/>
        <v>14.919160788240017</v>
      </c>
      <c r="AR436" s="169">
        <f t="shared" si="272"/>
        <v>102.25723234230927</v>
      </c>
      <c r="AS436" s="168" t="str">
        <f t="shared" si="273"/>
        <v>-0.000469878656894139+0.000344530824895325i</v>
      </c>
      <c r="AT436" s="190">
        <f t="shared" si="274"/>
        <v>-64.69176286728954</v>
      </c>
      <c r="AU436" s="169">
        <f t="shared" si="275"/>
        <v>143.7498779302135</v>
      </c>
      <c r="AV436" s="225"/>
      <c r="AX436">
        <f t="shared" si="276"/>
        <v>0</v>
      </c>
      <c r="AY436">
        <f t="shared" si="277"/>
        <v>0</v>
      </c>
    </row>
    <row r="437" spans="14:51" x14ac:dyDescent="0.2">
      <c r="N437" s="170">
        <v>19</v>
      </c>
      <c r="O437" s="199">
        <f t="shared" si="278"/>
        <v>154881.66189124843</v>
      </c>
      <c r="P437" s="189" t="str">
        <f t="shared" si="244"/>
        <v>771.276595744681</v>
      </c>
      <c r="Q437" s="160" t="str">
        <f t="shared" si="245"/>
        <v>1+992613.185993582i</v>
      </c>
      <c r="R437" s="160">
        <f t="shared" si="253"/>
        <v>992613.18599408562</v>
      </c>
      <c r="S437" s="160">
        <f t="shared" si="254"/>
        <v>1.5707953193531115</v>
      </c>
      <c r="T437" s="160" t="str">
        <f t="shared" si="246"/>
        <v>1+0.233556043763196i</v>
      </c>
      <c r="U437" s="160">
        <f t="shared" si="255"/>
        <v>1.0269120826917542</v>
      </c>
      <c r="V437" s="160">
        <f t="shared" si="256"/>
        <v>0.22944313402115588</v>
      </c>
      <c r="W437" s="98" t="str">
        <f t="shared" si="247"/>
        <v>1-0.66174212399572i</v>
      </c>
      <c r="X437" s="160">
        <f t="shared" si="257"/>
        <v>1.1991257810047979</v>
      </c>
      <c r="Y437" s="160">
        <f t="shared" si="258"/>
        <v>-0.58458555154385206</v>
      </c>
      <c r="Z437" s="98" t="str">
        <f t="shared" si="248"/>
        <v>-8.59533167607802-4.53082404234214i</v>
      </c>
      <c r="AA437" s="160">
        <f t="shared" si="259"/>
        <v>9.7163827180929712</v>
      </c>
      <c r="AB437" s="160">
        <f t="shared" si="260"/>
        <v>-2.6564803639145986</v>
      </c>
      <c r="AC437" s="171" t="str">
        <f t="shared" si="261"/>
        <v>0.0000733449844241282+0.0000657094201403305i</v>
      </c>
      <c r="AD437" s="190">
        <f t="shared" si="262"/>
        <v>-80.133529917345626</v>
      </c>
      <c r="AE437" s="169">
        <f t="shared" si="263"/>
        <v>41.857009283722476</v>
      </c>
      <c r="AF437" s="98" t="str">
        <f t="shared" si="249"/>
        <v>-0.0000119284294234592</v>
      </c>
      <c r="AG437" s="98" t="str">
        <f t="shared" si="250"/>
        <v>0.00545178195154239i</v>
      </c>
      <c r="AH437" s="98">
        <f t="shared" si="264"/>
        <v>5.4517819515423902E-3</v>
      </c>
      <c r="AI437" s="98">
        <f t="shared" si="265"/>
        <v>1.5707963267948966</v>
      </c>
      <c r="AJ437" s="98" t="str">
        <f t="shared" si="251"/>
        <v>1+4.70819723364456i</v>
      </c>
      <c r="AK437" s="98">
        <f t="shared" si="266"/>
        <v>4.8132235758271493</v>
      </c>
      <c r="AL437" s="98">
        <f t="shared" si="267"/>
        <v>1.3615109018183915</v>
      </c>
      <c r="AM437" s="98" t="str">
        <f t="shared" si="252"/>
        <v>1+11989.2102465107i</v>
      </c>
      <c r="AN437" s="98">
        <f t="shared" si="268"/>
        <v>11989.210288214863</v>
      </c>
      <c r="AO437" s="98">
        <f t="shared" si="269"/>
        <v>1.5707129184654804</v>
      </c>
      <c r="AP437" s="168" t="str">
        <f t="shared" si="270"/>
        <v>-1.13185999751353+5.33120809642047i</v>
      </c>
      <c r="AQ437" s="98">
        <f t="shared" si="271"/>
        <v>14.727986604161494</v>
      </c>
      <c r="AR437" s="169">
        <f t="shared" si="272"/>
        <v>101.9863926195038</v>
      </c>
      <c r="AS437" s="168" t="str">
        <f t="shared" si="273"/>
        <v>-0.000433326846551148+0.000316643510677096i</v>
      </c>
      <c r="AT437" s="190">
        <f t="shared" si="274"/>
        <v>-65.405543313184126</v>
      </c>
      <c r="AU437" s="169">
        <f t="shared" si="275"/>
        <v>143.84340190322627</v>
      </c>
      <c r="AV437" s="225"/>
      <c r="AX437">
        <f t="shared" si="276"/>
        <v>0</v>
      </c>
      <c r="AY437">
        <f t="shared" si="277"/>
        <v>0</v>
      </c>
    </row>
    <row r="438" spans="14:51" x14ac:dyDescent="0.2">
      <c r="N438" s="170">
        <v>20</v>
      </c>
      <c r="O438" s="199">
        <f t="shared" si="278"/>
        <v>158489.31924611164</v>
      </c>
      <c r="P438" s="189" t="str">
        <f t="shared" si="244"/>
        <v>771.276595744681</v>
      </c>
      <c r="Q438" s="160" t="str">
        <f t="shared" si="245"/>
        <v>1+1015734.1172727i</v>
      </c>
      <c r="R438" s="160">
        <f t="shared" si="253"/>
        <v>1015734.117273192</v>
      </c>
      <c r="S438" s="160">
        <f t="shared" si="254"/>
        <v>1.5707953422852863</v>
      </c>
      <c r="T438" s="160" t="str">
        <f t="shared" si="246"/>
        <v>1+0.238996262887695i</v>
      </c>
      <c r="U438" s="160">
        <f t="shared" si="255"/>
        <v>1.0281630287431485</v>
      </c>
      <c r="V438" s="160">
        <f t="shared" si="256"/>
        <v>0.23459569413708628</v>
      </c>
      <c r="W438" s="98" t="str">
        <f t="shared" si="247"/>
        <v>1-0.677156078181802i</v>
      </c>
      <c r="X438" s="160">
        <f t="shared" si="257"/>
        <v>1.2077004405971534</v>
      </c>
      <c r="Y438" s="160">
        <f t="shared" si="258"/>
        <v>-0.59522939060112601</v>
      </c>
      <c r="Z438" s="98" t="str">
        <f t="shared" si="248"/>
        <v>-9.0475457260384-4.63636049178586i</v>
      </c>
      <c r="AA438" s="160">
        <f t="shared" si="259"/>
        <v>10.16631311117991</v>
      </c>
      <c r="AB438" s="160">
        <f t="shared" si="260"/>
        <v>-2.6680394787988391</v>
      </c>
      <c r="AC438" s="171" t="str">
        <f t="shared" si="261"/>
        <v>0.0000687004232256153+0.0000623039426054059i</v>
      </c>
      <c r="AD438" s="190">
        <f t="shared" si="262"/>
        <v>-80.654243211190092</v>
      </c>
      <c r="AE438" s="169">
        <f t="shared" si="263"/>
        <v>42.204669360111495</v>
      </c>
      <c r="AF438" s="98" t="str">
        <f t="shared" si="249"/>
        <v>-0.0000119284294234592</v>
      </c>
      <c r="AG438" s="98" t="str">
        <f t="shared" si="250"/>
        <v>0.00557877026645603i</v>
      </c>
      <c r="AH438" s="98">
        <f t="shared" si="264"/>
        <v>5.5787702664560302E-3</v>
      </c>
      <c r="AI438" s="98">
        <f t="shared" si="265"/>
        <v>1.5707963267948966</v>
      </c>
      <c r="AJ438" s="98" t="str">
        <f t="shared" si="251"/>
        <v>1+4.8178652354641i</v>
      </c>
      <c r="AK438" s="98">
        <f t="shared" si="266"/>
        <v>4.9205513336508897</v>
      </c>
      <c r="AL438" s="98">
        <f t="shared" si="267"/>
        <v>1.3661414422477083</v>
      </c>
      <c r="AM438" s="98" t="str">
        <f t="shared" si="252"/>
        <v>1+12268.474828235i</v>
      </c>
      <c r="AN438" s="98">
        <f t="shared" si="268"/>
        <v>12268.474868989859</v>
      </c>
      <c r="AO438" s="98">
        <f t="shared" si="269"/>
        <v>1.5707148170708449</v>
      </c>
      <c r="AP438" s="168" t="str">
        <f t="shared" si="270"/>
        <v>-1.08302192300555+5.21999185467785i</v>
      </c>
      <c r="AQ438" s="98">
        <f t="shared" si="271"/>
        <v>14.536431969292934</v>
      </c>
      <c r="AR438" s="169">
        <f t="shared" si="272"/>
        <v>101.72119097811355</v>
      </c>
      <c r="AS438" s="168" t="str">
        <f t="shared" si="273"/>
        <v>-0.000399630137387636+0.000291139113919299i</v>
      </c>
      <c r="AT438" s="190">
        <f t="shared" si="274"/>
        <v>-66.117811241897158</v>
      </c>
      <c r="AU438" s="169">
        <f t="shared" si="275"/>
        <v>143.92586033822502</v>
      </c>
      <c r="AV438" s="225"/>
      <c r="AX438">
        <f t="shared" si="276"/>
        <v>0</v>
      </c>
      <c r="AY438">
        <f t="shared" si="277"/>
        <v>0</v>
      </c>
    </row>
    <row r="439" spans="14:51" x14ac:dyDescent="0.2">
      <c r="N439" s="170">
        <v>21</v>
      </c>
      <c r="O439" s="199">
        <f t="shared" si="278"/>
        <v>162181.00973589328</v>
      </c>
      <c r="P439" s="189" t="str">
        <f t="shared" si="244"/>
        <v>771.276595744681</v>
      </c>
      <c r="Q439" s="160" t="str">
        <f t="shared" si="245"/>
        <v>1+1039393.60422563i</v>
      </c>
      <c r="R439" s="160">
        <f t="shared" si="253"/>
        <v>1039393.6042261111</v>
      </c>
      <c r="S439" s="160">
        <f t="shared" si="254"/>
        <v>1.5707953646954611</v>
      </c>
      <c r="T439" s="160" t="str">
        <f t="shared" si="246"/>
        <v>1+0.244563200994266i</v>
      </c>
      <c r="U439" s="160">
        <f t="shared" si="255"/>
        <v>1.0294713008532883</v>
      </c>
      <c r="V439" s="160">
        <f t="shared" si="256"/>
        <v>0.23985516638450041</v>
      </c>
      <c r="W439" s="98" t="str">
        <f t="shared" si="247"/>
        <v>1-0.692929069483754i</v>
      </c>
      <c r="X439" s="160">
        <f t="shared" si="257"/>
        <v>1.2166144398845598</v>
      </c>
      <c r="Y439" s="160">
        <f t="shared" si="258"/>
        <v>-0.60596459243409617</v>
      </c>
      <c r="Z439" s="98" t="str">
        <f t="shared" si="248"/>
        <v>-9.5210719675815-4.74435520093181i</v>
      </c>
      <c r="AA439" s="160">
        <f t="shared" si="259"/>
        <v>10.637655647955285</v>
      </c>
      <c r="AB439" s="160">
        <f t="shared" si="260"/>
        <v>-2.6793055451639578</v>
      </c>
      <c r="AC439" s="171" t="str">
        <f t="shared" si="261"/>
        <v>0.000064376756005676+0.0000590657737250832i</v>
      </c>
      <c r="AD439" s="190">
        <f t="shared" si="262"/>
        <v>-81.172972079654301</v>
      </c>
      <c r="AE439" s="169">
        <f t="shared" si="263"/>
        <v>42.536429935531324</v>
      </c>
      <c r="AF439" s="98" t="str">
        <f t="shared" si="249"/>
        <v>-0.0000119284294234592</v>
      </c>
      <c r="AG439" s="98" t="str">
        <f t="shared" si="250"/>
        <v>0.00570871651920869i</v>
      </c>
      <c r="AH439" s="98">
        <f t="shared" si="264"/>
        <v>5.7087165192086899E-3</v>
      </c>
      <c r="AI439" s="98">
        <f t="shared" si="265"/>
        <v>1.5707963267948966</v>
      </c>
      <c r="AJ439" s="98" t="str">
        <f t="shared" si="251"/>
        <v>1+4.93008773320346i</v>
      </c>
      <c r="AK439" s="98">
        <f t="shared" si="266"/>
        <v>5.0304835808382506</v>
      </c>
      <c r="AL439" s="98">
        <f t="shared" si="267"/>
        <v>1.3706751958705097</v>
      </c>
      <c r="AM439" s="98" t="str">
        <f t="shared" si="252"/>
        <v>1+12554.2443177057i</v>
      </c>
      <c r="AN439" s="98">
        <f t="shared" si="268"/>
        <v>12554.244357532867</v>
      </c>
      <c r="AO439" s="98">
        <f t="shared" si="269"/>
        <v>1.5707166724586754</v>
      </c>
      <c r="AP439" s="168" t="str">
        <f t="shared" si="270"/>
        <v>-1.0362041089995+5.11066667847967i</v>
      </c>
      <c r="AQ439" s="98">
        <f t="shared" si="271"/>
        <v>14.344512590262671</v>
      </c>
      <c r="AR439" s="169">
        <f t="shared" si="272"/>
        <v>101.46153233606695</v>
      </c>
      <c r="AS439" s="168" t="str">
        <f t="shared" si="273"/>
        <v>-0.000368572940712542+0.000267803944351658i</v>
      </c>
      <c r="AT439" s="190">
        <f t="shared" si="274"/>
        <v>-66.828459489391633</v>
      </c>
      <c r="AU439" s="169">
        <f t="shared" si="275"/>
        <v>143.99796227159828</v>
      </c>
      <c r="AV439" s="225"/>
      <c r="AX439">
        <f t="shared" si="276"/>
        <v>0</v>
      </c>
      <c r="AY439">
        <f t="shared" si="277"/>
        <v>0</v>
      </c>
    </row>
    <row r="440" spans="14:51" x14ac:dyDescent="0.2">
      <c r="N440" s="170">
        <v>22</v>
      </c>
      <c r="O440" s="199">
        <f t="shared" si="278"/>
        <v>165958.69074375604</v>
      </c>
      <c r="P440" s="189" t="str">
        <f t="shared" si="244"/>
        <v>771.276595744681</v>
      </c>
      <c r="Q440" s="160" t="str">
        <f t="shared" si="245"/>
        <v>1+1063604.19142553i</v>
      </c>
      <c r="R440" s="160">
        <f t="shared" si="253"/>
        <v>1063604.1914260001</v>
      </c>
      <c r="S440" s="160">
        <f t="shared" si="254"/>
        <v>1.570795386595518</v>
      </c>
      <c r="T440" s="160" t="str">
        <f t="shared" si="246"/>
        <v>1+0.250259809747183i</v>
      </c>
      <c r="U440" s="160">
        <f t="shared" si="255"/>
        <v>1.0308394503387499</v>
      </c>
      <c r="V440" s="160">
        <f t="shared" si="256"/>
        <v>0.24522317499544169</v>
      </c>
      <c r="W440" s="98" t="str">
        <f t="shared" si="247"/>
        <v>1-0.709069460950351i</v>
      </c>
      <c r="X440" s="160">
        <f t="shared" si="257"/>
        <v>1.2258790725240485</v>
      </c>
      <c r="Y440" s="160">
        <f t="shared" si="258"/>
        <v>-0.61678695161868458</v>
      </c>
      <c r="Z440" s="98" t="str">
        <f t="shared" si="248"/>
        <v>-10.0169148133527-4.85486543000428i</v>
      </c>
      <c r="AA440" s="160">
        <f t="shared" si="259"/>
        <v>11.131410545003513</v>
      </c>
      <c r="AB440" s="160">
        <f t="shared" si="260"/>
        <v>-2.6902867264661756</v>
      </c>
      <c r="AC440" s="171" t="str">
        <f t="shared" si="261"/>
        <v>0.0000603506238558664+0.0000559892573098784i</v>
      </c>
      <c r="AD440" s="190">
        <f t="shared" si="262"/>
        <v>-81.689628518304346</v>
      </c>
      <c r="AE440" s="169">
        <f t="shared" si="263"/>
        <v>42.853092755580732</v>
      </c>
      <c r="AF440" s="98" t="str">
        <f t="shared" si="249"/>
        <v>-0.0000119284294234592</v>
      </c>
      <c r="AG440" s="98" t="str">
        <f t="shared" si="250"/>
        <v>0.00584168960902362i</v>
      </c>
      <c r="AH440" s="98">
        <f t="shared" si="264"/>
        <v>5.8416896090236203E-3</v>
      </c>
      <c r="AI440" s="98">
        <f t="shared" si="265"/>
        <v>1.5707963267948966</v>
      </c>
      <c r="AJ440" s="98" t="str">
        <f t="shared" si="251"/>
        <v>1+5.04492422871643i</v>
      </c>
      <c r="AK440" s="98">
        <f t="shared" si="266"/>
        <v>5.1430788904594946</v>
      </c>
      <c r="AL440" s="98">
        <f t="shared" si="267"/>
        <v>1.3751138206637437</v>
      </c>
      <c r="AM440" s="98" t="str">
        <f t="shared" si="252"/>
        <v>1+12846.6702336887i</v>
      </c>
      <c r="AN440" s="98">
        <f t="shared" si="268"/>
        <v>12846.67027260929</v>
      </c>
      <c r="AO440" s="98">
        <f t="shared" si="269"/>
        <v>1.5707184856127234</v>
      </c>
      <c r="AP440" s="168" t="str">
        <f t="shared" si="270"/>
        <v>-0.991330366271417+5.00322853198022i</v>
      </c>
      <c r="AQ440" s="98">
        <f t="shared" si="271"/>
        <v>14.15224358401815</v>
      </c>
      <c r="AR440" s="169">
        <f t="shared" si="272"/>
        <v>101.20732175464705</v>
      </c>
      <c r="AS440" s="168" t="str">
        <f t="shared" si="273"/>
        <v>-0.00033995445570891+0.00024644411224221i</v>
      </c>
      <c r="AT440" s="190">
        <f t="shared" si="274"/>
        <v>-67.537384934286194</v>
      </c>
      <c r="AU440" s="169">
        <f t="shared" si="275"/>
        <v>144.06041451022782</v>
      </c>
      <c r="AV440" s="225"/>
      <c r="AX440">
        <f t="shared" si="276"/>
        <v>0</v>
      </c>
      <c r="AY440">
        <f t="shared" si="277"/>
        <v>0</v>
      </c>
    </row>
    <row r="441" spans="14:51" x14ac:dyDescent="0.2">
      <c r="N441" s="170">
        <v>23</v>
      </c>
      <c r="O441" s="199">
        <f t="shared" si="278"/>
        <v>169824.36524617471</v>
      </c>
      <c r="P441" s="189" t="str">
        <f t="shared" si="244"/>
        <v>771.276595744681</v>
      </c>
      <c r="Q441" s="160" t="str">
        <f t="shared" si="245"/>
        <v>1+1088378.71564618i</v>
      </c>
      <c r="R441" s="160">
        <f t="shared" si="253"/>
        <v>1088378.7156466395</v>
      </c>
      <c r="S441" s="160">
        <f t="shared" si="254"/>
        <v>1.5707954079970685</v>
      </c>
      <c r="T441" s="160" t="str">
        <f t="shared" si="246"/>
        <v>1+0.256089109563806i</v>
      </c>
      <c r="U441" s="160">
        <f t="shared" si="255"/>
        <v>1.0322701352055008</v>
      </c>
      <c r="V441" s="160">
        <f t="shared" si="256"/>
        <v>0.25070132817110979</v>
      </c>
      <c r="W441" s="98" t="str">
        <f t="shared" si="247"/>
        <v>1-0.725585810430784i</v>
      </c>
      <c r="X441" s="160">
        <f t="shared" si="257"/>
        <v>1.2355058754609376</v>
      </c>
      <c r="Y441" s="160">
        <f t="shared" si="258"/>
        <v>-0.62769206601014149</v>
      </c>
      <c r="Z441" s="98" t="str">
        <f t="shared" si="248"/>
        <v>-10.5361260125064-4.96794977298945i</v>
      </c>
      <c r="AA441" s="160">
        <f t="shared" si="259"/>
        <v>11.648625511121901</v>
      </c>
      <c r="AB441" s="160">
        <f t="shared" si="260"/>
        <v>-2.7009909566181864</v>
      </c>
      <c r="AC441" s="171" t="str">
        <f t="shared" si="261"/>
        <v>0.0000566003681317374+0.0000530685381334788i</v>
      </c>
      <c r="AD441" s="190">
        <f t="shared" si="262"/>
        <v>-82.204127854094253</v>
      </c>
      <c r="AE441" s="169">
        <f t="shared" si="263"/>
        <v>43.155456766763272</v>
      </c>
      <c r="AF441" s="98" t="str">
        <f t="shared" si="249"/>
        <v>-0.0000119284294234592</v>
      </c>
      <c r="AG441" s="98" t="str">
        <f t="shared" si="250"/>
        <v>0.00597776003999318i</v>
      </c>
      <c r="AH441" s="98">
        <f t="shared" si="264"/>
        <v>5.9777600399931801E-3</v>
      </c>
      <c r="AI441" s="98">
        <f t="shared" si="265"/>
        <v>1.5707963267948966</v>
      </c>
      <c r="AJ441" s="98" t="str">
        <f t="shared" si="251"/>
        <v>1+5.16243560983289i</v>
      </c>
      <c r="AK441" s="98">
        <f t="shared" si="266"/>
        <v>5.2583972297336654</v>
      </c>
      <c r="AL441" s="98">
        <f t="shared" si="267"/>
        <v>1.37945897013546</v>
      </c>
      <c r="AM441" s="98" t="str">
        <f t="shared" si="252"/>
        <v>1+13145.9076242754i</v>
      </c>
      <c r="AN441" s="98">
        <f t="shared" si="268"/>
        <v>13145.90766231005</v>
      </c>
      <c r="AO441" s="98">
        <f t="shared" si="269"/>
        <v>1.5707202574943468</v>
      </c>
      <c r="AP441" s="168" t="str">
        <f t="shared" si="270"/>
        <v>-0.948326749357299+4.89767124873153i</v>
      </c>
      <c r="AQ441" s="98">
        <f t="shared" si="271"/>
        <v>13.959639494957926</v>
      </c>
      <c r="AR441" s="169">
        <f t="shared" si="272"/>
        <v>100.95846454990306</v>
      </c>
      <c r="AS441" s="168" t="str">
        <f t="shared" si="273"/>
        <v>-0.000313587896551349+0.000226883681405165i</v>
      </c>
      <c r="AT441" s="190">
        <f t="shared" si="274"/>
        <v>-68.244488359136326</v>
      </c>
      <c r="AU441" s="169">
        <f t="shared" si="275"/>
        <v>144.11392131666631</v>
      </c>
      <c r="AV441" s="225"/>
      <c r="AX441">
        <f t="shared" si="276"/>
        <v>0</v>
      </c>
      <c r="AY441">
        <f t="shared" si="277"/>
        <v>0</v>
      </c>
    </row>
    <row r="442" spans="14:51" x14ac:dyDescent="0.2">
      <c r="N442" s="170">
        <v>24</v>
      </c>
      <c r="O442" s="199">
        <f t="shared" si="278"/>
        <v>173780.0828749378</v>
      </c>
      <c r="P442" s="189" t="str">
        <f t="shared" si="244"/>
        <v>771.276595744681</v>
      </c>
      <c r="Q442" s="160" t="str">
        <f t="shared" si="245"/>
        <v>1+1113730.31266827i</v>
      </c>
      <c r="R442" s="160">
        <f t="shared" si="253"/>
        <v>1113730.3126687189</v>
      </c>
      <c r="S442" s="160">
        <f t="shared" si="254"/>
        <v>1.5707954289114605</v>
      </c>
      <c r="T442" s="160" t="str">
        <f t="shared" si="246"/>
        <v>1+0.262054191216062i</v>
      </c>
      <c r="U442" s="160">
        <f t="shared" si="255"/>
        <v>1.0337661240018965</v>
      </c>
      <c r="V442" s="160">
        <f t="shared" si="256"/>
        <v>0.25629121474062388</v>
      </c>
      <c r="W442" s="98" t="str">
        <f t="shared" si="247"/>
        <v>1-0.742486875112176i</v>
      </c>
      <c r="X442" s="160">
        <f t="shared" si="257"/>
        <v>1.2455066277277869</v>
      </c>
      <c r="Y442" s="160">
        <f t="shared" si="258"/>
        <v>-0.6386753430323614</v>
      </c>
      <c r="Z442" s="98" t="str">
        <f t="shared" si="248"/>
        <v>-11.0798068816081-5.08366818870289i</v>
      </c>
      <c r="AA442" s="160">
        <f t="shared" si="259"/>
        <v>12.190397974904672</v>
      </c>
      <c r="AB442" s="160">
        <f t="shared" si="260"/>
        <v>-2.7114259419894315</v>
      </c>
      <c r="AC442" s="171" t="str">
        <f t="shared" si="261"/>
        <v>0.0000531059167084963+0.0000502976361925986i</v>
      </c>
      <c r="AD442" s="190">
        <f t="shared" si="262"/>
        <v>-82.716388637703062</v>
      </c>
      <c r="AE442" s="169">
        <f t="shared" si="263"/>
        <v>43.444317679303779</v>
      </c>
      <c r="AF442" s="98" t="str">
        <f t="shared" si="249"/>
        <v>-0.0000119284294234592</v>
      </c>
      <c r="AG442" s="98" t="str">
        <f t="shared" si="250"/>
        <v>0.00611699995846094i</v>
      </c>
      <c r="AH442" s="98">
        <f t="shared" si="264"/>
        <v>6.1169999584609397E-3</v>
      </c>
      <c r="AI442" s="98">
        <f t="shared" si="265"/>
        <v>1.5707963267948966</v>
      </c>
      <c r="AJ442" s="98" t="str">
        <f t="shared" si="251"/>
        <v>1+5.28268418264264i</v>
      </c>
      <c r="AK442" s="98">
        <f t="shared" si="266"/>
        <v>5.3764999928896815</v>
      </c>
      <c r="AL442" s="98">
        <f t="shared" si="267"/>
        <v>1.3837122915237503</v>
      </c>
      <c r="AM442" s="98" t="str">
        <f t="shared" si="252"/>
        <v>1+13452.1151490912i</v>
      </c>
      <c r="AN442" s="98">
        <f t="shared" si="268"/>
        <v>13452.115186260076</v>
      </c>
      <c r="AO442" s="98">
        <f t="shared" si="269"/>
        <v>1.5707219890430208</v>
      </c>
      <c r="AP442" s="168" t="str">
        <f t="shared" si="270"/>
        <v>-0.907121546415913+4.79398669067873i</v>
      </c>
      <c r="AQ442" s="98">
        <f t="shared" si="271"/>
        <v>13.766714312010089</v>
      </c>
      <c r="AR442" s="169">
        <f t="shared" si="272"/>
        <v>100.71486639587235</v>
      </c>
      <c r="AS442" s="168" t="str">
        <f t="shared" si="273"/>
        <v>-0.000289299719768364+0.000208962988372729i</v>
      </c>
      <c r="AT442" s="190">
        <f t="shared" si="274"/>
        <v>-68.949674325692982</v>
      </c>
      <c r="AU442" s="169">
        <f t="shared" si="275"/>
        <v>144.15918407517617</v>
      </c>
      <c r="AV442" s="225"/>
      <c r="AX442">
        <f t="shared" si="276"/>
        <v>0</v>
      </c>
      <c r="AY442">
        <f t="shared" si="277"/>
        <v>0</v>
      </c>
    </row>
    <row r="443" spans="14:51" x14ac:dyDescent="0.2">
      <c r="N443" s="170">
        <v>25</v>
      </c>
      <c r="O443" s="199">
        <f t="shared" si="278"/>
        <v>177827.94100389251</v>
      </c>
      <c r="P443" s="189" t="str">
        <f t="shared" si="244"/>
        <v>771.276595744681</v>
      </c>
      <c r="Q443" s="160" t="str">
        <f t="shared" si="245"/>
        <v>1+1139672.42424409i</v>
      </c>
      <c r="R443" s="160">
        <f t="shared" si="253"/>
        <v>1139672.4242445286</v>
      </c>
      <c r="S443" s="160">
        <f t="shared" si="254"/>
        <v>1.5707954493497829</v>
      </c>
      <c r="T443" s="160" t="str">
        <f t="shared" si="246"/>
        <v>1+0.268158217469198i</v>
      </c>
      <c r="U443" s="160">
        <f t="shared" si="255"/>
        <v>1.0353302997576463</v>
      </c>
      <c r="V443" s="160">
        <f t="shared" si="256"/>
        <v>0.26199440062157431</v>
      </c>
      <c r="W443" s="98" t="str">
        <f t="shared" si="247"/>
        <v>1-0.759781616162728i</v>
      </c>
      <c r="X443" s="160">
        <f t="shared" si="257"/>
        <v>1.2558933490781958</v>
      </c>
      <c r="Y443" s="160">
        <f t="shared" si="258"/>
        <v>-0.64973200695922928</v>
      </c>
      <c r="Z443" s="98" t="str">
        <f t="shared" si="248"/>
        <v>-11.6491106406737-5.20208203258028i</v>
      </c>
      <c r="AA443" s="160">
        <f t="shared" si="259"/>
        <v>12.757877417201961</v>
      </c>
      <c r="AB443" s="160">
        <f t="shared" si="260"/>
        <v>-2.7215991642367467</v>
      </c>
      <c r="AC443" s="171" t="str">
        <f t="shared" si="261"/>
        <v>0.0000498486757374079+0.0000476705098258339i</v>
      </c>
      <c r="AD443" s="190">
        <f t="shared" si="262"/>
        <v>-83.226332548386651</v>
      </c>
      <c r="AE443" s="169">
        <f t="shared" si="263"/>
        <v>43.720467509347046</v>
      </c>
      <c r="AF443" s="98" t="str">
        <f t="shared" si="249"/>
        <v>-0.0000119284294234592</v>
      </c>
      <c r="AG443" s="98" t="str">
        <f t="shared" si="250"/>
        <v>0.00625948319127474i</v>
      </c>
      <c r="AH443" s="98">
        <f t="shared" si="264"/>
        <v>6.2594831912747397E-3</v>
      </c>
      <c r="AI443" s="98">
        <f t="shared" si="265"/>
        <v>1.5707963267948966</v>
      </c>
      <c r="AJ443" s="98" t="str">
        <f t="shared" si="251"/>
        <v>1+5.40573370453062i</v>
      </c>
      <c r="AK443" s="98">
        <f t="shared" si="266"/>
        <v>5.4974500347250395</v>
      </c>
      <c r="AL443" s="98">
        <f t="shared" si="267"/>
        <v>1.3878754241320479</v>
      </c>
      <c r="AM443" s="98" t="str">
        <f t="shared" si="252"/>
        <v>1+13765.4551634188i</v>
      </c>
      <c r="AN443" s="98">
        <f t="shared" si="268"/>
        <v>13765.455199741607</v>
      </c>
      <c r="AO443" s="98">
        <f t="shared" si="269"/>
        <v>1.5707236811768355</v>
      </c>
      <c r="AP443" s="168" t="str">
        <f t="shared" si="270"/>
        <v>-0.867645263141422+4.69216489977374i</v>
      </c>
      <c r="AQ443" s="98">
        <f t="shared" si="271"/>
        <v>13.573481485611014</v>
      </c>
      <c r="AR443" s="169">
        <f t="shared" si="272"/>
        <v>100.47643341998956</v>
      </c>
      <c r="AS443" s="168" t="str">
        <f t="shared" si="273"/>
        <v>-0.000266928860336532+0.000192537114553347i</v>
      </c>
      <c r="AT443" s="190">
        <f t="shared" si="274"/>
        <v>-69.652851062775639</v>
      </c>
      <c r="AU443" s="169">
        <f t="shared" si="275"/>
        <v>144.19690092933661</v>
      </c>
      <c r="AV443" s="225"/>
      <c r="AX443">
        <f t="shared" si="276"/>
        <v>0</v>
      </c>
      <c r="AY443">
        <f t="shared" si="277"/>
        <v>0</v>
      </c>
    </row>
    <row r="444" spans="14:51" x14ac:dyDescent="0.2">
      <c r="N444" s="170">
        <v>26</v>
      </c>
      <c r="O444" s="199">
        <f t="shared" si="278"/>
        <v>181970.08586099857</v>
      </c>
      <c r="P444" s="189" t="str">
        <f t="shared" si="244"/>
        <v>771.276595744681</v>
      </c>
      <c r="Q444" s="160" t="str">
        <f t="shared" si="245"/>
        <v>1+1166218.80522459i</v>
      </c>
      <c r="R444" s="160">
        <f t="shared" si="253"/>
        <v>1166218.8052250186</v>
      </c>
      <c r="S444" s="160">
        <f t="shared" si="254"/>
        <v>1.5707954693228721</v>
      </c>
      <c r="T444" s="160" t="str">
        <f t="shared" si="246"/>
        <v>1+0.274404424758727i</v>
      </c>
      <c r="U444" s="160">
        <f t="shared" si="255"/>
        <v>1.036965664005886</v>
      </c>
      <c r="V444" s="160">
        <f t="shared" si="256"/>
        <v>0.26781242507794656</v>
      </c>
      <c r="W444" s="98" t="str">
        <f t="shared" si="247"/>
        <v>1-0.777479203483059i</v>
      </c>
      <c r="X444" s="160">
        <f t="shared" si="257"/>
        <v>1.2666782984833409</v>
      </c>
      <c r="Y444" s="160">
        <f t="shared" si="258"/>
        <v>-0.66085710717801915</v>
      </c>
      <c r="Z444" s="98" t="str">
        <f t="shared" si="248"/>
        <v>-12.2452448593036-5.32325408920899i</v>
      </c>
      <c r="AA444" s="160">
        <f t="shared" si="259"/>
        <v>13.352267813468298</v>
      </c>
      <c r="AB444" s="160">
        <f t="shared" si="260"/>
        <v>-2.7315178838203154</v>
      </c>
      <c r="AC444" s="171" t="str">
        <f t="shared" si="261"/>
        <v>0.0000468114270347588+0.0000451811089965356i</v>
      </c>
      <c r="AD444" s="190">
        <f t="shared" si="262"/>
        <v>-83.73388430992361</v>
      </c>
      <c r="AE444" s="169">
        <f t="shared" si="263"/>
        <v>43.984694092542824</v>
      </c>
      <c r="AF444" s="98" t="str">
        <f t="shared" si="249"/>
        <v>-0.0000119284294234592</v>
      </c>
      <c r="AG444" s="98" t="str">
        <f t="shared" si="250"/>
        <v>0.00640528528493061i</v>
      </c>
      <c r="AH444" s="98">
        <f t="shared" si="264"/>
        <v>6.4052852849306096E-3</v>
      </c>
      <c r="AI444" s="98">
        <f t="shared" si="265"/>
        <v>1.5707963267948966</v>
      </c>
      <c r="AJ444" s="98" t="str">
        <f t="shared" si="251"/>
        <v>1+5.53164941798202i</v>
      </c>
      <c r="AK444" s="98">
        <f t="shared" si="266"/>
        <v>5.6213117048835519</v>
      </c>
      <c r="AL444" s="98">
        <f t="shared" si="267"/>
        <v>1.3919499977943803</v>
      </c>
      <c r="AM444" s="98" t="str">
        <f t="shared" si="252"/>
        <v>1+14086.0938042813i</v>
      </c>
      <c r="AN444" s="98">
        <f t="shared" si="268"/>
        <v>14086.093839777299</v>
      </c>
      <c r="AO444" s="98">
        <f t="shared" si="269"/>
        <v>1.5707253347929822</v>
      </c>
      <c r="AP444" s="168" t="str">
        <f t="shared" si="270"/>
        <v>-0.829830601375482+4.59219424230163i</v>
      </c>
      <c r="AQ444" s="98">
        <f t="shared" si="271"/>
        <v>13.379953944540512</v>
      </c>
      <c r="AR444" s="169">
        <f t="shared" si="272"/>
        <v>100.24307229104888</v>
      </c>
      <c r="AS444" s="168" t="str">
        <f t="shared" si="273"/>
        <v>-0.000246325983242192+0.000177474498853536i</v>
      </c>
      <c r="AT444" s="190">
        <f t="shared" si="274"/>
        <v>-70.353930365383079</v>
      </c>
      <c r="AU444" s="169">
        <f t="shared" si="275"/>
        <v>144.22776638359176</v>
      </c>
      <c r="AV444" s="225"/>
      <c r="AX444">
        <f t="shared" si="276"/>
        <v>0</v>
      </c>
      <c r="AY444">
        <f t="shared" si="277"/>
        <v>0</v>
      </c>
    </row>
    <row r="445" spans="14:51" x14ac:dyDescent="0.2">
      <c r="N445" s="170">
        <v>27</v>
      </c>
      <c r="O445" s="199">
        <f t="shared" si="278"/>
        <v>186208.71366628664</v>
      </c>
      <c r="P445" s="189" t="str">
        <f t="shared" si="244"/>
        <v>771.276595744681</v>
      </c>
      <c r="Q445" s="160" t="str">
        <f t="shared" si="245"/>
        <v>1+1193383.53085236i</v>
      </c>
      <c r="R445" s="160">
        <f t="shared" si="253"/>
        <v>1193383.5308527788</v>
      </c>
      <c r="S445" s="160">
        <f t="shared" si="254"/>
        <v>1.5707954888413183</v>
      </c>
      <c r="T445" s="160" t="str">
        <f t="shared" si="246"/>
        <v>1+0.280796124906437i</v>
      </c>
      <c r="U445" s="160">
        <f t="shared" si="255"/>
        <v>1.0386753408849521</v>
      </c>
      <c r="V445" s="160">
        <f t="shared" si="256"/>
        <v>0.27374679677155017</v>
      </c>
      <c r="W445" s="98" t="str">
        <f t="shared" si="247"/>
        <v>1-0.795589020568236i</v>
      </c>
      <c r="X445" s="160">
        <f t="shared" si="257"/>
        <v>1.2778739725218309</v>
      </c>
      <c r="Y445" s="160">
        <f t="shared" si="258"/>
        <v>-0.67204552741570189</v>
      </c>
      <c r="Z445" s="98" t="str">
        <f t="shared" si="248"/>
        <v>-12.8694740181012-5.44724860561742i</v>
      </c>
      <c r="AA445" s="160">
        <f t="shared" si="259"/>
        <v>13.974830191239636</v>
      </c>
      <c r="AB445" s="160">
        <f t="shared" si="260"/>
        <v>-2.7411891440778025</v>
      </c>
      <c r="AC445" s="171" t="str">
        <f t="shared" si="261"/>
        <v>0.0000439782311392963+0.0000428234199210721i</v>
      </c>
      <c r="AD445" s="190">
        <f t="shared" si="262"/>
        <v>-84.238971616234551</v>
      </c>
      <c r="AE445" s="169">
        <f t="shared" si="263"/>
        <v>44.237780562612215</v>
      </c>
      <c r="AF445" s="98" t="str">
        <f t="shared" si="249"/>
        <v>-0.0000119284294234592</v>
      </c>
      <c r="AG445" s="98" t="str">
        <f t="shared" si="250"/>
        <v>0.00655448354562852i</v>
      </c>
      <c r="AH445" s="98">
        <f t="shared" si="264"/>
        <v>6.5544835456285196E-3</v>
      </c>
      <c r="AI445" s="98">
        <f t="shared" si="265"/>
        <v>1.5707963267948966</v>
      </c>
      <c r="AJ445" s="98" t="str">
        <f t="shared" si="251"/>
        <v>1+5.66049808517491i</v>
      </c>
      <c r="AK445" s="98">
        <f t="shared" si="266"/>
        <v>5.7481508828725794</v>
      </c>
      <c r="AL445" s="98">
        <f t="shared" si="267"/>
        <v>1.3959376314642138</v>
      </c>
      <c r="AM445" s="98" t="str">
        <f t="shared" si="252"/>
        <v>1+14414.2010785304i</v>
      </c>
      <c r="AN445" s="98">
        <f t="shared" si="268"/>
        <v>14414.201113218413</v>
      </c>
      <c r="AO445" s="98">
        <f t="shared" si="269"/>
        <v>1.5707269507682304</v>
      </c>
      <c r="AP445" s="168" t="str">
        <f t="shared" si="270"/>
        <v>-0.793612433025841+4.49406154604358i</v>
      </c>
      <c r="AQ445" s="98">
        <f t="shared" si="271"/>
        <v>13.186144112575604</v>
      </c>
      <c r="AR445" s="169">
        <f t="shared" si="272"/>
        <v>100.01469030008467</v>
      </c>
      <c r="AS445" s="168" t="str">
        <f t="shared" si="273"/>
        <v>-0.000227352755751996+0.000163655678952079i</v>
      </c>
      <c r="AT445" s="190">
        <f t="shared" si="274"/>
        <v>-71.052827503658932</v>
      </c>
      <c r="AU445" s="169">
        <f t="shared" si="275"/>
        <v>144.25247086269675</v>
      </c>
      <c r="AV445" s="225"/>
      <c r="AX445">
        <f t="shared" si="276"/>
        <v>0</v>
      </c>
      <c r="AY445">
        <f t="shared" si="277"/>
        <v>0</v>
      </c>
    </row>
    <row r="446" spans="14:51" x14ac:dyDescent="0.2">
      <c r="N446" s="170">
        <v>28</v>
      </c>
      <c r="O446" s="199">
        <f t="shared" si="278"/>
        <v>190546.07179632492</v>
      </c>
      <c r="P446" s="189" t="str">
        <f t="shared" si="244"/>
        <v>771.276595744681</v>
      </c>
      <c r="Q446" s="160" t="str">
        <f t="shared" si="245"/>
        <v>1+1221181.00422449i</v>
      </c>
      <c r="R446" s="160">
        <f t="shared" si="253"/>
        <v>1221181.0042248995</v>
      </c>
      <c r="S446" s="160">
        <f t="shared" si="254"/>
        <v>1.5707955079154705</v>
      </c>
      <c r="T446" s="160" t="str">
        <f t="shared" si="246"/>
        <v>1+0.28733670687635i</v>
      </c>
      <c r="U446" s="160">
        <f t="shared" si="255"/>
        <v>1.0404625813158999</v>
      </c>
      <c r="V446" s="160">
        <f t="shared" si="256"/>
        <v>0.27979898960380334</v>
      </c>
      <c r="W446" s="98" t="str">
        <f t="shared" si="247"/>
        <v>1-0.814120669482992i</v>
      </c>
      <c r="X446" s="160">
        <f t="shared" si="257"/>
        <v>1.289493103695958</v>
      </c>
      <c r="Y446" s="160">
        <f t="shared" si="258"/>
        <v>-0.68329199589973144</v>
      </c>
      <c r="Z446" s="98" t="str">
        <f t="shared" si="248"/>
        <v>-13.5231221908043-5.57413132533946i</v>
      </c>
      <c r="AA446" s="160">
        <f t="shared" si="259"/>
        <v>14.626885308210849</v>
      </c>
      <c r="AB446" s="160">
        <f t="shared" si="260"/>
        <v>-2.7506197757455277</v>
      </c>
      <c r="AC446" s="171" t="str">
        <f t="shared" si="261"/>
        <v>0.0000413343359975488+0.0000405915021074638i</v>
      </c>
      <c r="AD446" s="190">
        <f t="shared" si="262"/>
        <v>-84.741525065274473</v>
      </c>
      <c r="AE446" s="169">
        <f t="shared" si="263"/>
        <v>44.480504789972521</v>
      </c>
      <c r="AF446" s="98" t="str">
        <f t="shared" si="249"/>
        <v>-0.0000119284294234592</v>
      </c>
      <c r="AG446" s="98" t="str">
        <f t="shared" si="250"/>
        <v>0.00670715708026118i</v>
      </c>
      <c r="AH446" s="98">
        <f t="shared" si="264"/>
        <v>6.7071570802611797E-3</v>
      </c>
      <c r="AI446" s="98">
        <f t="shared" si="265"/>
        <v>1.5707963267948966</v>
      </c>
      <c r="AJ446" s="98" t="str">
        <f t="shared" si="251"/>
        <v>1+5.79234802337816i</v>
      </c>
      <c r="AK446" s="98">
        <f t="shared" si="266"/>
        <v>5.8780350138403294</v>
      </c>
      <c r="AL446" s="98">
        <f t="shared" si="267"/>
        <v>1.3998399319206472</v>
      </c>
      <c r="AM446" s="98" t="str">
        <f t="shared" si="252"/>
        <v>1+14749.950952986i</v>
      </c>
      <c r="AN446" s="98">
        <f t="shared" si="268"/>
        <v>14749.950986884418</v>
      </c>
      <c r="AO446" s="98">
        <f t="shared" si="269"/>
        <v>1.5707285299593916</v>
      </c>
      <c r="AP446" s="168" t="str">
        <f t="shared" si="270"/>
        <v>-0.75892776985655+4.3977522304247i</v>
      </c>
      <c r="AQ446" s="98">
        <f t="shared" si="271"/>
        <v>12.992063924929267</v>
      </c>
      <c r="AR446" s="169">
        <f t="shared" si="272"/>
        <v>99.791195434527623</v>
      </c>
      <c r="AS446" s="168" t="str">
        <f t="shared" si="273"/>
        <v>-0.000209881144366509+0.000150972150156799i</v>
      </c>
      <c r="AT446" s="190">
        <f t="shared" si="274"/>
        <v>-71.749461140345204</v>
      </c>
      <c r="AU446" s="169">
        <f t="shared" si="275"/>
        <v>144.27170022450022</v>
      </c>
      <c r="AV446" s="225"/>
      <c r="AX446">
        <f t="shared" si="276"/>
        <v>0</v>
      </c>
      <c r="AY446">
        <f t="shared" si="277"/>
        <v>0</v>
      </c>
    </row>
    <row r="447" spans="14:51" x14ac:dyDescent="0.2">
      <c r="N447" s="170">
        <v>29</v>
      </c>
      <c r="O447" s="199">
        <f t="shared" si="278"/>
        <v>194984.45997580473</v>
      </c>
      <c r="P447" s="189" t="str">
        <f t="shared" si="244"/>
        <v>771.276595744681</v>
      </c>
      <c r="Q447" s="160" t="str">
        <f t="shared" si="245"/>
        <v>1+1249625.96392929i</v>
      </c>
      <c r="R447" s="160">
        <f t="shared" si="253"/>
        <v>1249625.96392969</v>
      </c>
      <c r="S447" s="160">
        <f t="shared" si="254"/>
        <v>1.5707955265554419</v>
      </c>
      <c r="T447" s="160" t="str">
        <f t="shared" si="246"/>
        <v>1+0.294029638571597i</v>
      </c>
      <c r="U447" s="160">
        <f t="shared" si="255"/>
        <v>1.042330767251233</v>
      </c>
      <c r="V447" s="160">
        <f t="shared" si="256"/>
        <v>0.28597043834560965</v>
      </c>
      <c r="W447" s="98" t="str">
        <f t="shared" si="247"/>
        <v>1-0.833083975952856i</v>
      </c>
      <c r="X447" s="160">
        <f t="shared" si="257"/>
        <v>1.3015486587098535</v>
      </c>
      <c r="Y447" s="160">
        <f t="shared" si="258"/>
        <v>-0.69459109641566541</v>
      </c>
      <c r="Z447" s="98" t="str">
        <f t="shared" si="248"/>
        <v>-14.2075758528224-5.70396952327247i</v>
      </c>
      <c r="AA447" s="160">
        <f t="shared" si="259"/>
        <v>15.309816456643864</v>
      </c>
      <c r="AB447" s="160">
        <f t="shared" si="260"/>
        <v>-2.7598164018302249</v>
      </c>
      <c r="AC447" s="171" t="str">
        <f t="shared" si="261"/>
        <v>0.0000388660911762976+0.0000384795187607926i</v>
      </c>
      <c r="AD447" s="190">
        <f t="shared" si="262"/>
        <v>-85.241478099842453</v>
      </c>
      <c r="AE447" s="169">
        <f t="shared" si="263"/>
        <v>44.713638776923588</v>
      </c>
      <c r="AF447" s="98" t="str">
        <f t="shared" si="249"/>
        <v>-0.0000119284294234592</v>
      </c>
      <c r="AG447" s="98" t="str">
        <f t="shared" si="250"/>
        <v>0.00686338683835751i</v>
      </c>
      <c r="AH447" s="98">
        <f t="shared" si="264"/>
        <v>6.8633868383575101E-3</v>
      </c>
      <c r="AI447" s="98">
        <f t="shared" si="265"/>
        <v>1.5707963267948966</v>
      </c>
      <c r="AJ447" s="98" t="str">
        <f t="shared" si="251"/>
        <v>1+5.92726914117411i</v>
      </c>
      <c r="AK447" s="98">
        <f t="shared" si="266"/>
        <v>6.0110331451352739</v>
      </c>
      <c r="AL447" s="98">
        <f t="shared" si="267"/>
        <v>1.4036584925858908</v>
      </c>
      <c r="AM447" s="98" t="str">
        <f t="shared" si="252"/>
        <v>1+15093.5214466753i</v>
      </c>
      <c r="AN447" s="98">
        <f t="shared" si="268"/>
        <v>15093.521479802093</v>
      </c>
      <c r="AO447" s="98">
        <f t="shared" si="269"/>
        <v>1.5707300732037734</v>
      </c>
      <c r="AP447" s="168" t="str">
        <f t="shared" si="270"/>
        <v>-0.725715729674136+4.3032504298155i</v>
      </c>
      <c r="AQ447" s="98">
        <f t="shared" si="271"/>
        <v>12.797724844444776</v>
      </c>
      <c r="AR447" s="169">
        <f t="shared" si="272"/>
        <v>99.572496445984356</v>
      </c>
      <c r="AS447" s="168" t="str">
        <f t="shared" si="273"/>
        <v>-0.000193792739364063+0.000139325331524653i</v>
      </c>
      <c r="AT447" s="190">
        <f t="shared" si="274"/>
        <v>-72.443753255397667</v>
      </c>
      <c r="AU447" s="169">
        <f t="shared" si="275"/>
        <v>144.28613522290797</v>
      </c>
      <c r="AV447" s="225"/>
      <c r="AX447">
        <f t="shared" si="276"/>
        <v>0</v>
      </c>
      <c r="AY447">
        <f t="shared" si="277"/>
        <v>0</v>
      </c>
    </row>
    <row r="448" spans="14:51" x14ac:dyDescent="0.2">
      <c r="N448" s="170">
        <v>30</v>
      </c>
      <c r="O448" s="199">
        <f t="shared" si="278"/>
        <v>199526.23149688813</v>
      </c>
      <c r="P448" s="189" t="str">
        <f t="shared" si="244"/>
        <v>771.276595744681</v>
      </c>
      <c r="Q448" s="160" t="str">
        <f t="shared" si="245"/>
        <v>1+1278733.49186092i</v>
      </c>
      <c r="R448" s="160">
        <f t="shared" si="253"/>
        <v>1278733.491861311</v>
      </c>
      <c r="S448" s="160">
        <f t="shared" si="254"/>
        <v>1.5707955447711157</v>
      </c>
      <c r="T448" s="160" t="str">
        <f t="shared" si="246"/>
        <v>1+0.300878468673158i</v>
      </c>
      <c r="U448" s="160">
        <f t="shared" si="255"/>
        <v>1.0442834159896941</v>
      </c>
      <c r="V448" s="160">
        <f t="shared" si="256"/>
        <v>0.2922625340539769</v>
      </c>
      <c r="W448" s="98" t="str">
        <f t="shared" si="247"/>
        <v>1-0.852488994573947i</v>
      </c>
      <c r="X448" s="160">
        <f t="shared" si="257"/>
        <v>1.3140538367470715</v>
      </c>
      <c r="Y448" s="160">
        <f t="shared" si="258"/>
        <v>-0.70593728021472568</v>
      </c>
      <c r="Z448" s="98" t="str">
        <f t="shared" si="248"/>
        <v>-14.9242868221399-5.83683204134772i</v>
      </c>
      <c r="AA448" s="160">
        <f t="shared" si="259"/>
        <v>16.025072400098605</v>
      </c>
      <c r="AB448" s="160">
        <f t="shared" si="260"/>
        <v>-2.7687854427477943</v>
      </c>
      <c r="AC448" s="171" t="str">
        <f t="shared" si="261"/>
        <v>0.0000365608674552412+0.0000364817614113059i</v>
      </c>
      <c r="AD448" s="190">
        <f t="shared" si="262"/>
        <v>-85.738766954006508</v>
      </c>
      <c r="AE448" s="169">
        <f t="shared" si="263"/>
        <v>44.937948007215148</v>
      </c>
      <c r="AF448" s="98" t="str">
        <f t="shared" si="249"/>
        <v>-0.0000119284294234592</v>
      </c>
      <c r="AG448" s="98" t="str">
        <f t="shared" si="250"/>
        <v>0.0070232556550032i</v>
      </c>
      <c r="AH448" s="98">
        <f t="shared" si="264"/>
        <v>7.0232556550032001E-3</v>
      </c>
      <c r="AI448" s="98">
        <f t="shared" si="265"/>
        <v>1.5707963267948966</v>
      </c>
      <c r="AJ448" s="98" t="str">
        <f t="shared" si="251"/>
        <v>1+6.06533297552544i</v>
      </c>
      <c r="AK448" s="98">
        <f t="shared" si="266"/>
        <v>6.1472159636697556</v>
      </c>
      <c r="AL448" s="98">
        <f t="shared" si="267"/>
        <v>1.4073948924481021</v>
      </c>
      <c r="AM448" s="98" t="str">
        <f t="shared" si="252"/>
        <v>1+15445.0947252221i</v>
      </c>
      <c r="AN448" s="98">
        <f t="shared" si="268"/>
        <v>15445.094757594838</v>
      </c>
      <c r="AO448" s="98">
        <f t="shared" si="269"/>
        <v>1.5707315813196248</v>
      </c>
      <c r="AP448" s="168" t="str">
        <f t="shared" si="270"/>
        <v>-0.693917499395072+4.21053911017249i</v>
      </c>
      <c r="AQ448" s="98">
        <f t="shared" si="271"/>
        <v>12.60313787751989</v>
      </c>
      <c r="AR448" s="169">
        <f t="shared" si="272"/>
        <v>99.358502911979699</v>
      </c>
      <c r="AS448" s="168" t="str">
        <f t="shared" si="273"/>
        <v>-0.000178978108950541+0.000128625629670065i</v>
      </c>
      <c r="AT448" s="190">
        <f t="shared" si="274"/>
        <v>-73.135629076486609</v>
      </c>
      <c r="AU448" s="169">
        <f t="shared" si="275"/>
        <v>144.2964509191948</v>
      </c>
      <c r="AV448" s="225"/>
      <c r="AX448">
        <f t="shared" si="276"/>
        <v>0</v>
      </c>
      <c r="AY448">
        <f t="shared" si="277"/>
        <v>0</v>
      </c>
    </row>
    <row r="449" spans="14:51" x14ac:dyDescent="0.2">
      <c r="N449" s="170">
        <v>31</v>
      </c>
      <c r="O449" s="199">
        <f t="shared" si="278"/>
        <v>204173.79446695308</v>
      </c>
      <c r="P449" s="189" t="str">
        <f t="shared" si="244"/>
        <v>771.276595744681</v>
      </c>
      <c r="Q449" s="160" t="str">
        <f t="shared" si="245"/>
        <v>1+1308519.02121598i</v>
      </c>
      <c r="R449" s="160">
        <f t="shared" si="253"/>
        <v>1308519.021216362</v>
      </c>
      <c r="S449" s="160">
        <f t="shared" si="254"/>
        <v>1.5707955625721504</v>
      </c>
      <c r="T449" s="160" t="str">
        <f t="shared" si="246"/>
        <v>1+0.307886828521406i</v>
      </c>
      <c r="U449" s="160">
        <f t="shared" si="255"/>
        <v>1.0463241845513127</v>
      </c>
      <c r="V449" s="160">
        <f t="shared" si="256"/>
        <v>0.29867661927507599</v>
      </c>
      <c r="W449" s="98" t="str">
        <f t="shared" si="247"/>
        <v>1-0.872346014143983i</v>
      </c>
      <c r="X449" s="160">
        <f t="shared" si="257"/>
        <v>1.327022067786702</v>
      </c>
      <c r="Y449" s="160">
        <f t="shared" si="258"/>
        <v>-0.71732487871525386</v>
      </c>
      <c r="Z449" s="98" t="str">
        <f t="shared" si="248"/>
        <v>-15.6747753388133-5.97278932503087i</v>
      </c>
      <c r="AA449" s="160">
        <f t="shared" si="259"/>
        <v>16.774170448742684</v>
      </c>
      <c r="AB449" s="160">
        <f t="shared" si="260"/>
        <v>-2.7775331216567647</v>
      </c>
      <c r="AC449" s="171" t="str">
        <f t="shared" si="261"/>
        <v>0.0000344069816182542+0.0000345926695287496i</v>
      </c>
      <c r="AD449" s="190">
        <f t="shared" si="262"/>
        <v>-86.233330603903511</v>
      </c>
      <c r="AE449" s="169">
        <f t="shared" si="263"/>
        <v>45.154190749047146</v>
      </c>
      <c r="AF449" s="98" t="str">
        <f t="shared" si="249"/>
        <v>-0.0000119284294234592</v>
      </c>
      <c r="AG449" s="98" t="str">
        <f t="shared" si="250"/>
        <v>0.00718684829476095i</v>
      </c>
      <c r="AH449" s="98">
        <f t="shared" si="264"/>
        <v>7.18684829476095E-3</v>
      </c>
      <c r="AI449" s="98">
        <f t="shared" si="265"/>
        <v>1.5707963267948966</v>
      </c>
      <c r="AJ449" s="98" t="str">
        <f t="shared" si="251"/>
        <v>1+6.20661272970454i</v>
      </c>
      <c r="AK449" s="98">
        <f t="shared" si="266"/>
        <v>6.2866558341085002</v>
      </c>
      <c r="AL449" s="98">
        <f t="shared" si="267"/>
        <v>1.4110506950837758</v>
      </c>
      <c r="AM449" s="98" t="str">
        <f t="shared" si="252"/>
        <v>1+15804.8571974322i</v>
      </c>
      <c r="AN449" s="98">
        <f t="shared" si="268"/>
        <v>15804.857229068044</v>
      </c>
      <c r="AO449" s="98">
        <f t="shared" si="269"/>
        <v>1.5707330551065686</v>
      </c>
      <c r="AP449" s="168" t="str">
        <f t="shared" si="270"/>
        <v>-0.663476295442619+4.11960017921697i</v>
      </c>
      <c r="AQ449" s="98">
        <f t="shared" si="271"/>
        <v>12.408313589738885</v>
      </c>
      <c r="AR449" s="169">
        <f t="shared" si="272"/>
        <v>99.149125291994551</v>
      </c>
      <c r="AS449" s="168" t="str">
        <f t="shared" si="273"/>
        <v>-0.000165336184291672+0.000118791591412469i</v>
      </c>
      <c r="AT449" s="190">
        <f t="shared" si="274"/>
        <v>-73.825017014164629</v>
      </c>
      <c r="AU449" s="169">
        <f t="shared" si="275"/>
        <v>144.30331604104185</v>
      </c>
      <c r="AV449" s="225"/>
      <c r="AX449">
        <f t="shared" si="276"/>
        <v>0</v>
      </c>
      <c r="AY449">
        <f t="shared" si="277"/>
        <v>0</v>
      </c>
    </row>
    <row r="450" spans="14:51" x14ac:dyDescent="0.2">
      <c r="N450" s="170">
        <v>32</v>
      </c>
      <c r="O450" s="199">
        <f t="shared" si="278"/>
        <v>208929.61308540447</v>
      </c>
      <c r="P450" s="189" t="str">
        <f t="shared" si="244"/>
        <v>771.276595744681</v>
      </c>
      <c r="Q450" s="160" t="str">
        <f t="shared" si="245"/>
        <v>1+1338998.34467639i</v>
      </c>
      <c r="R450" s="160">
        <f t="shared" si="253"/>
        <v>1338998.3446767635</v>
      </c>
      <c r="S450" s="160">
        <f t="shared" si="254"/>
        <v>1.5707955799679838</v>
      </c>
      <c r="T450" s="160" t="str">
        <f t="shared" si="246"/>
        <v>1+0.315058434041503i</v>
      </c>
      <c r="U450" s="160">
        <f t="shared" si="255"/>
        <v>1.0484568741062668</v>
      </c>
      <c r="V450" s="160">
        <f t="shared" si="256"/>
        <v>0.30521398303472402</v>
      </c>
      <c r="W450" s="98" t="str">
        <f t="shared" si="247"/>
        <v>1-0.892665563117591i</v>
      </c>
      <c r="X450" s="160">
        <f t="shared" si="257"/>
        <v>1.3404670109987957</v>
      </c>
      <c r="Y450" s="160">
        <f t="shared" si="258"/>
        <v>-0.72874811693368391</v>
      </c>
      <c r="Z450" s="98" t="str">
        <f t="shared" si="248"/>
        <v>-16.4606332896068-6.11191346067342i</v>
      </c>
      <c r="AA450" s="160">
        <f t="shared" si="259"/>
        <v>17.558699679807514</v>
      </c>
      <c r="AB450" s="160">
        <f t="shared" si="260"/>
        <v>-2.7860654699247731</v>
      </c>
      <c r="AC450" s="171" t="str">
        <f t="shared" si="261"/>
        <v>0.000032393626236514+0.0000328068458019052i</v>
      </c>
      <c r="AD450" s="190">
        <f t="shared" si="262"/>
        <v>-86.72511072176745</v>
      </c>
      <c r="AE450" s="169">
        <f t="shared" si="263"/>
        <v>45.363117311712848</v>
      </c>
      <c r="AF450" s="98" t="str">
        <f t="shared" si="249"/>
        <v>-0.0000119284294234592</v>
      </c>
      <c r="AG450" s="98" t="str">
        <f t="shared" si="250"/>
        <v>0.00735425149661378i</v>
      </c>
      <c r="AH450" s="98">
        <f t="shared" si="264"/>
        <v>7.3542514966137796E-3</v>
      </c>
      <c r="AI450" s="98">
        <f t="shared" si="265"/>
        <v>1.5707963267948966</v>
      </c>
      <c r="AJ450" s="98" t="str">
        <f t="shared" si="251"/>
        <v>1+6.35118331210722i</v>
      </c>
      <c r="AK450" s="98">
        <f t="shared" si="266"/>
        <v>6.4294268379062558</v>
      </c>
      <c r="AL450" s="98">
        <f t="shared" si="267"/>
        <v>1.4146274477741603</v>
      </c>
      <c r="AM450" s="98" t="str">
        <f t="shared" si="252"/>
        <v>1+16172.9996141305i</v>
      </c>
      <c r="AN450" s="98">
        <f t="shared" si="268"/>
        <v>16172.999645046224</v>
      </c>
      <c r="AO450" s="98">
        <f t="shared" si="269"/>
        <v>1.570734495346026</v>
      </c>
      <c r="AP450" s="168" t="str">
        <f t="shared" si="270"/>
        <v>-0.634337321884915+4.03041459036174i</v>
      </c>
      <c r="AQ450" s="98">
        <f t="shared" si="271"/>
        <v>12.213262121193614</v>
      </c>
      <c r="AR450" s="169">
        <f t="shared" si="272"/>
        <v>98.944274978115871</v>
      </c>
      <c r="AS450" s="168" t="str">
        <f t="shared" si="273"/>
        <v>-0.000152773676096758+0.000109749137112899i</v>
      </c>
      <c r="AT450" s="190">
        <f t="shared" si="274"/>
        <v>-74.511848600573828</v>
      </c>
      <c r="AU450" s="169">
        <f t="shared" si="275"/>
        <v>144.30739228982878</v>
      </c>
      <c r="AV450" s="225"/>
      <c r="AX450">
        <f t="shared" si="276"/>
        <v>0</v>
      </c>
      <c r="AY450">
        <f t="shared" si="277"/>
        <v>0</v>
      </c>
    </row>
    <row r="451" spans="14:51" x14ac:dyDescent="0.2">
      <c r="N451" s="170">
        <v>33</v>
      </c>
      <c r="O451" s="199">
        <f t="shared" si="278"/>
        <v>213796.20895022334</v>
      </c>
      <c r="P451" s="189" t="str">
        <f t="shared" si="244"/>
        <v>771.276595744681</v>
      </c>
      <c r="Q451" s="160" t="str">
        <f t="shared" si="245"/>
        <v>1+1370187.62278288i</v>
      </c>
      <c r="R451" s="160">
        <f t="shared" si="253"/>
        <v>1370187.6227832448</v>
      </c>
      <c r="S451" s="160">
        <f t="shared" si="254"/>
        <v>1.5707955969678398</v>
      </c>
      <c r="T451" s="160" t="str">
        <f t="shared" si="246"/>
        <v>1+0.322397087713617i</v>
      </c>
      <c r="U451" s="160">
        <f t="shared" si="255"/>
        <v>1.050685434450398</v>
      </c>
      <c r="V451" s="160">
        <f t="shared" si="256"/>
        <v>0.31187585561852971</v>
      </c>
      <c r="W451" s="98" t="str">
        <f t="shared" si="247"/>
        <v>1-0.913458415188582i</v>
      </c>
      <c r="X451" s="160">
        <f t="shared" si="257"/>
        <v>1.3544025532606012</v>
      </c>
      <c r="Y451" s="160">
        <f t="shared" si="258"/>
        <v>-0.74020112757227263</v>
      </c>
      <c r="Z451" s="98" t="str">
        <f t="shared" si="248"/>
        <v>-17.2835275845951-6.25427821373351i</v>
      </c>
      <c r="AA451" s="160">
        <f t="shared" si="259"/>
        <v>18.380324310039835</v>
      </c>
      <c r="AB451" s="160">
        <f t="shared" si="260"/>
        <v>-2.7943883326750041</v>
      </c>
      <c r="AC451" s="171" t="str">
        <f t="shared" si="261"/>
        <v>0.0000305108042196839+0.0000311190676854577i</v>
      </c>
      <c r="AD451" s="190">
        <f t="shared" si="262"/>
        <v>-87.214051632119919</v>
      </c>
      <c r="AE451" s="169">
        <f t="shared" si="263"/>
        <v>45.565469257144187</v>
      </c>
      <c r="AF451" s="98" t="str">
        <f t="shared" si="249"/>
        <v>-0.0000119284294234592</v>
      </c>
      <c r="AG451" s="98" t="str">
        <f t="shared" si="250"/>
        <v>0.00752555401995512i</v>
      </c>
      <c r="AH451" s="98">
        <f t="shared" si="264"/>
        <v>7.5255540199551203E-3</v>
      </c>
      <c r="AI451" s="98">
        <f t="shared" si="265"/>
        <v>1.5707963267948966</v>
      </c>
      <c r="AJ451" s="98" t="str">
        <f t="shared" si="251"/>
        <v>1+6.49912137596977i</v>
      </c>
      <c r="AK451" s="98">
        <f t="shared" si="266"/>
        <v>6.5756048132158309</v>
      </c>
      <c r="AL451" s="98">
        <f t="shared" si="267"/>
        <v>1.4181266807102539</v>
      </c>
      <c r="AM451" s="98" t="str">
        <f t="shared" si="252"/>
        <v>1+16549.717169299i</v>
      </c>
      <c r="AN451" s="98">
        <f t="shared" si="268"/>
        <v>16549.717199510997</v>
      </c>
      <c r="AO451" s="98">
        <f t="shared" si="269"/>
        <v>1.5707359028016312</v>
      </c>
      <c r="AP451" s="168" t="str">
        <f t="shared" si="270"/>
        <v>-0.606447726692593+3.94296244060335i</v>
      </c>
      <c r="AQ451" s="98">
        <f t="shared" si="271"/>
        <v>12.017993201478099</v>
      </c>
      <c r="AR451" s="169">
        <f t="shared" si="272"/>
        <v>98.743864340610529</v>
      </c>
      <c r="AS451" s="168" t="str">
        <f t="shared" si="273"/>
        <v>-0.000141204522928943+0.000101430867216177i</v>
      </c>
      <c r="AT451" s="190">
        <f t="shared" si="274"/>
        <v>-75.196058430641827</v>
      </c>
      <c r="AU451" s="169">
        <f t="shared" si="275"/>
        <v>144.30933359775472</v>
      </c>
      <c r="AV451" s="225"/>
      <c r="AX451">
        <f t="shared" si="276"/>
        <v>0</v>
      </c>
      <c r="AY451">
        <f t="shared" si="277"/>
        <v>0</v>
      </c>
    </row>
    <row r="452" spans="14:51" x14ac:dyDescent="0.2">
      <c r="N452" s="170">
        <v>34</v>
      </c>
      <c r="O452" s="199">
        <f t="shared" si="278"/>
        <v>218776.16239495538</v>
      </c>
      <c r="P452" s="189" t="str">
        <f t="shared" si="244"/>
        <v>771.276595744681</v>
      </c>
      <c r="Q452" s="160" t="str">
        <f t="shared" si="245"/>
        <v>1+1402103.39250354i</v>
      </c>
      <c r="R452" s="160">
        <f t="shared" si="253"/>
        <v>1402103.3925038965</v>
      </c>
      <c r="S452" s="160">
        <f t="shared" si="254"/>
        <v>1.5707956135807319</v>
      </c>
      <c r="T452" s="160" t="str">
        <f t="shared" si="246"/>
        <v>1+0.329906680589069i</v>
      </c>
      <c r="U452" s="160">
        <f t="shared" si="255"/>
        <v>1.053013968519553</v>
      </c>
      <c r="V452" s="160">
        <f t="shared" si="256"/>
        <v>0.31866340314553571</v>
      </c>
      <c r="W452" s="98" t="str">
        <f t="shared" si="247"/>
        <v>1-0.93473559500236i</v>
      </c>
      <c r="X452" s="160">
        <f t="shared" si="257"/>
        <v>1.3688428078360262</v>
      </c>
      <c r="Y452" s="160">
        <f t="shared" si="258"/>
        <v>-0.75167796568365997</v>
      </c>
      <c r="Z452" s="98" t="str">
        <f t="shared" si="248"/>
        <v>-18.1452036929056-6.3999590678877i</v>
      </c>
      <c r="AA452" s="160">
        <f t="shared" si="259"/>
        <v>19.240787227337478</v>
      </c>
      <c r="AB452" s="160">
        <f t="shared" si="260"/>
        <v>-2.8025073743678304</v>
      </c>
      <c r="AC452" s="171" t="str">
        <f t="shared" si="261"/>
        <v>0.0000287492679006227+0.0000295242957466219i</v>
      </c>
      <c r="AD452" s="190">
        <f t="shared" si="262"/>
        <v>-87.700100269166171</v>
      </c>
      <c r="AE452" s="169">
        <f t="shared" si="263"/>
        <v>45.761978568589896</v>
      </c>
      <c r="AF452" s="98" t="str">
        <f t="shared" si="249"/>
        <v>-0.0000119284294234592</v>
      </c>
      <c r="AG452" s="98" t="str">
        <f t="shared" si="250"/>
        <v>0.00770084669165033i</v>
      </c>
      <c r="AH452" s="98">
        <f t="shared" si="264"/>
        <v>7.7008466916503298E-3</v>
      </c>
      <c r="AI452" s="98">
        <f t="shared" si="265"/>
        <v>1.5707963267948966</v>
      </c>
      <c r="AJ452" s="98" t="str">
        <f t="shared" si="251"/>
        <v>1+6.65050536001192i</v>
      </c>
      <c r="AK452" s="98">
        <f t="shared" si="266"/>
        <v>6.7252673956912128</v>
      </c>
      <c r="AL452" s="98">
        <f t="shared" si="267"/>
        <v>1.4215499062812262</v>
      </c>
      <c r="AM452" s="98" t="str">
        <f t="shared" si="252"/>
        <v>1+16935.2096035722i</v>
      </c>
      <c r="AN452" s="98">
        <f t="shared" si="268"/>
        <v>16935.209633096485</v>
      </c>
      <c r="AO452" s="98">
        <f t="shared" si="269"/>
        <v>1.5707372782196356</v>
      </c>
      <c r="AP452" s="168" t="str">
        <f t="shared" si="270"/>
        <v>-0.579756556461597+3.85722306260291i</v>
      </c>
      <c r="AQ452" s="98">
        <f t="shared" si="271"/>
        <v>11.822516164343135</v>
      </c>
      <c r="AR452" s="169">
        <f t="shared" si="272"/>
        <v>98.547806768719298</v>
      </c>
      <c r="AS452" s="168" t="str">
        <f t="shared" si="273"/>
        <v>-0.000130549371019836+0.0000937754351452161i</v>
      </c>
      <c r="AT452" s="190">
        <f t="shared" si="274"/>
        <v>-75.877584104823029</v>
      </c>
      <c r="AU452" s="169">
        <f t="shared" si="275"/>
        <v>144.30978533730922</v>
      </c>
      <c r="AV452" s="225"/>
      <c r="AX452">
        <f t="shared" si="276"/>
        <v>0</v>
      </c>
      <c r="AY452">
        <f t="shared" si="277"/>
        <v>0</v>
      </c>
    </row>
    <row r="453" spans="14:51" x14ac:dyDescent="0.2">
      <c r="N453" s="170">
        <v>35</v>
      </c>
      <c r="O453" s="199">
        <f t="shared" si="278"/>
        <v>223872.11385683404</v>
      </c>
      <c r="P453" s="189" t="str">
        <f t="shared" si="244"/>
        <v>771.276595744681</v>
      </c>
      <c r="Q453" s="160" t="str">
        <f t="shared" si="245"/>
        <v>1+1434762.57600195i</v>
      </c>
      <c r="R453" s="160">
        <f t="shared" si="253"/>
        <v>1434762.5760022986</v>
      </c>
      <c r="S453" s="160">
        <f t="shared" si="254"/>
        <v>1.5707956298154684</v>
      </c>
      <c r="T453" s="160" t="str">
        <f t="shared" si="246"/>
        <v>1+0.3375911943534i</v>
      </c>
      <c r="U453" s="160">
        <f t="shared" si="255"/>
        <v>1.0554467369341549</v>
      </c>
      <c r="V453" s="160">
        <f t="shared" si="256"/>
        <v>0.32557772194069584</v>
      </c>
      <c r="W453" s="98" t="str">
        <f t="shared" si="247"/>
        <v>1-0.956508384001299i</v>
      </c>
      <c r="X453" s="160">
        <f t="shared" si="257"/>
        <v>1.383802113260699</v>
      </c>
      <c r="Y453" s="160">
        <f t="shared" si="258"/>
        <v>-0.76317262382547502</v>
      </c>
      <c r="Z453" s="98" t="str">
        <f t="shared" si="248"/>
        <v>-19.0474893450911-6.54903326505316i</v>
      </c>
      <c r="AA453" s="160">
        <f t="shared" si="259"/>
        <v>20.141913689074631</v>
      </c>
      <c r="AB453" s="160">
        <f t="shared" si="260"/>
        <v>-2.8104280843796321</v>
      </c>
      <c r="AC453" s="171" t="str">
        <f t="shared" si="261"/>
        <v>0.00002710046241367+0.0000280176792811122i</v>
      </c>
      <c r="AD453" s="190">
        <f t="shared" si="262"/>
        <v>-88.183206134543099</v>
      </c>
      <c r="AE453" s="169">
        <f t="shared" si="263"/>
        <v>45.953366779530228</v>
      </c>
      <c r="AF453" s="98" t="str">
        <f t="shared" si="249"/>
        <v>-0.0000119284294234592</v>
      </c>
      <c r="AG453" s="98" t="str">
        <f t="shared" si="250"/>
        <v>0.00788022245419421i</v>
      </c>
      <c r="AH453" s="98">
        <f t="shared" si="264"/>
        <v>7.8802224541942092E-3</v>
      </c>
      <c r="AI453" s="98">
        <f t="shared" si="265"/>
        <v>1.5707963267948966</v>
      </c>
      <c r="AJ453" s="98" t="str">
        <f t="shared" si="251"/>
        <v>1+6.80541553002581i</v>
      </c>
      <c r="AK453" s="98">
        <f t="shared" si="266"/>
        <v>6.8784940602079816</v>
      </c>
      <c r="AL453" s="98">
        <f t="shared" si="267"/>
        <v>1.4248986184412169</v>
      </c>
      <c r="AM453" s="98" t="str">
        <f t="shared" si="252"/>
        <v>1+17329.6813101412i</v>
      </c>
      <c r="AN453" s="98">
        <f t="shared" si="268"/>
        <v>17329.681338993432</v>
      </c>
      <c r="AO453" s="98">
        <f t="shared" si="269"/>
        <v>1.5707386223293041</v>
      </c>
      <c r="AP453" s="168" t="str">
        <f t="shared" si="270"/>
        <v>-0.554214709916694+3.77317511118235i</v>
      </c>
      <c r="AQ453" s="98">
        <f t="shared" si="271"/>
        <v>11.626839962000787</v>
      </c>
      <c r="AR453" s="169">
        <f t="shared" si="272"/>
        <v>98.356016706958911</v>
      </c>
      <c r="AS453" s="168" t="str">
        <f t="shared" si="273"/>
        <v>-0.000120735085051782+0.0000867269802854718i</v>
      </c>
      <c r="AT453" s="190">
        <f t="shared" si="274"/>
        <v>-76.556366172542326</v>
      </c>
      <c r="AU453" s="169">
        <f t="shared" si="275"/>
        <v>144.30938348648908</v>
      </c>
      <c r="AV453" s="225"/>
      <c r="AX453">
        <f t="shared" si="276"/>
        <v>0</v>
      </c>
      <c r="AY453">
        <f t="shared" si="277"/>
        <v>0</v>
      </c>
    </row>
    <row r="454" spans="14:51" x14ac:dyDescent="0.2">
      <c r="N454" s="170">
        <v>36</v>
      </c>
      <c r="O454" s="199">
        <f t="shared" si="278"/>
        <v>229086.76527677779</v>
      </c>
      <c r="P454" s="189" t="str">
        <f t="shared" si="244"/>
        <v>771.276595744681</v>
      </c>
      <c r="Q454" s="160" t="str">
        <f t="shared" si="245"/>
        <v>1+1468182.48960948i</v>
      </c>
      <c r="R454" s="160">
        <f t="shared" si="253"/>
        <v>1468182.4896098203</v>
      </c>
      <c r="S454" s="160">
        <f t="shared" si="254"/>
        <v>1.5707956456806571</v>
      </c>
      <c r="T454" s="160" t="str">
        <f t="shared" si="246"/>
        <v>1+0.345454703437524i</v>
      </c>
      <c r="U454" s="160">
        <f t="shared" si="255"/>
        <v>1.0579881625647367</v>
      </c>
      <c r="V454" s="160">
        <f t="shared" si="256"/>
        <v>0.33261983271345363</v>
      </c>
      <c r="W454" s="98" t="str">
        <f t="shared" si="247"/>
        <v>1-0.978788326406316i</v>
      </c>
      <c r="X454" s="160">
        <f t="shared" si="257"/>
        <v>1.3992950324750235</v>
      </c>
      <c r="Y454" s="160">
        <f t="shared" si="258"/>
        <v>-0.77467904761267903</v>
      </c>
      <c r="Z454" s="98" t="str">
        <f t="shared" si="248"/>
        <v>-19.9922984099911-6.70157984634244i</v>
      </c>
      <c r="AA454" s="160">
        <f t="shared" si="259"/>
        <v>21.085615194986271</v>
      </c>
      <c r="AB454" s="160">
        <f t="shared" si="260"/>
        <v>-2.8181557825470982</v>
      </c>
      <c r="AC454" s="171" t="str">
        <f t="shared" si="261"/>
        <v>0.0000255564731252824+0.0000265945596114964i</v>
      </c>
      <c r="AD454" s="190">
        <f t="shared" si="262"/>
        <v>-88.663321254683822</v>
      </c>
      <c r="AE454" s="169">
        <f t="shared" si="263"/>
        <v>46.140344066715535</v>
      </c>
      <c r="AF454" s="98" t="str">
        <f t="shared" si="249"/>
        <v>-0.0000119284294234592</v>
      </c>
      <c r="AG454" s="98" t="str">
        <f t="shared" si="250"/>
        <v>0.0080637764149904i</v>
      </c>
      <c r="AH454" s="98">
        <f t="shared" si="264"/>
        <v>8.0637764149903996E-3</v>
      </c>
      <c r="AI454" s="98">
        <f t="shared" si="265"/>
        <v>1.5707963267948966</v>
      </c>
      <c r="AJ454" s="98" t="str">
        <f t="shared" si="251"/>
        <v>1+6.96393402143402i</v>
      </c>
      <c r="AK454" s="98">
        <f t="shared" si="266"/>
        <v>7.0353661635259739</v>
      </c>
      <c r="AL454" s="98">
        <f t="shared" si="267"/>
        <v>1.4281742921497407</v>
      </c>
      <c r="AM454" s="98" t="str">
        <f t="shared" si="252"/>
        <v>1+17733.3414431262i</v>
      </c>
      <c r="AN454" s="98">
        <f t="shared" si="268"/>
        <v>17733.341471321673</v>
      </c>
      <c r="AO454" s="98">
        <f t="shared" si="269"/>
        <v>1.5707399358433014</v>
      </c>
      <c r="AP454" s="168" t="str">
        <f t="shared" si="270"/>
        <v>-0.529774890482354+3.69079664446459i</v>
      </c>
      <c r="AQ454" s="98">
        <f t="shared" si="271"/>
        <v>11.430973179070733</v>
      </c>
      <c r="AR454" s="169">
        <f t="shared" si="272"/>
        <v>98.168409687206903</v>
      </c>
      <c r="AS454" s="168" t="str">
        <f t="shared" si="273"/>
        <v>-0.000111694289126186+0.0000802346153495348i</v>
      </c>
      <c r="AT454" s="190">
        <f t="shared" si="274"/>
        <v>-77.232348075613089</v>
      </c>
      <c r="AU454" s="169">
        <f t="shared" si="275"/>
        <v>144.30875375392242</v>
      </c>
      <c r="AV454" s="225"/>
      <c r="AX454">
        <f t="shared" si="276"/>
        <v>0</v>
      </c>
      <c r="AY454">
        <f t="shared" si="277"/>
        <v>0</v>
      </c>
    </row>
    <row r="455" spans="14:51" x14ac:dyDescent="0.2">
      <c r="N455" s="170">
        <v>37</v>
      </c>
      <c r="O455" s="199">
        <f t="shared" si="278"/>
        <v>234422.88153199267</v>
      </c>
      <c r="P455" s="189" t="str">
        <f t="shared" si="244"/>
        <v>771.276595744681</v>
      </c>
      <c r="Q455" s="160" t="str">
        <f t="shared" si="245"/>
        <v>1+1502380.85300669i</v>
      </c>
      <c r="R455" s="160">
        <f t="shared" si="253"/>
        <v>1502380.8530070225</v>
      </c>
      <c r="S455" s="160">
        <f t="shared" si="254"/>
        <v>1.57079566118471</v>
      </c>
      <c r="T455" s="160" t="str">
        <f t="shared" si="246"/>
        <v>1+0.353501377178045i</v>
      </c>
      <c r="U455" s="160">
        <f t="shared" si="255"/>
        <v>1.0606428351083952</v>
      </c>
      <c r="V455" s="160">
        <f t="shared" si="256"/>
        <v>0.33979067455151807</v>
      </c>
      <c r="W455" s="98" t="str">
        <f t="shared" si="247"/>
        <v>1-1.00158723533779i</v>
      </c>
      <c r="X455" s="160">
        <f t="shared" si="257"/>
        <v>1.4153363522469129</v>
      </c>
      <c r="Y455" s="160">
        <f t="shared" si="258"/>
        <v>-0.78619115157056763</v>
      </c>
      <c r="Z455" s="98" t="str">
        <f t="shared" si="248"/>
        <v>-20.9816349543052-6.85767969397216i</v>
      </c>
      <c r="AA455" s="160">
        <f t="shared" si="259"/>
        <v>22.073893542844676</v>
      </c>
      <c r="AB455" s="160">
        <f t="shared" si="260"/>
        <v>-2.8256956246506224</v>
      </c>
      <c r="AC455" s="171" t="str">
        <f t="shared" si="261"/>
        <v>0.0000241099768778396+0.0000252504714302925i</v>
      </c>
      <c r="AD455" s="190">
        <f t="shared" si="262"/>
        <v>-89.140400137185082</v>
      </c>
      <c r="AE455" s="169">
        <f t="shared" si="263"/>
        <v>46.323608311899761</v>
      </c>
      <c r="AF455" s="98" t="str">
        <f t="shared" si="249"/>
        <v>-0.0000119284294234592</v>
      </c>
      <c r="AG455" s="98" t="str">
        <f t="shared" si="250"/>
        <v>0.00825160589677849i</v>
      </c>
      <c r="AH455" s="98">
        <f t="shared" si="264"/>
        <v>8.2516058967784904E-3</v>
      </c>
      <c r="AI455" s="98">
        <f t="shared" si="265"/>
        <v>1.5707963267948966</v>
      </c>
      <c r="AJ455" s="98" t="str">
        <f t="shared" si="251"/>
        <v>1+7.12614488283897i</v>
      </c>
      <c r="AK455" s="98">
        <f t="shared" si="266"/>
        <v>7.1959669879184434</v>
      </c>
      <c r="AL455" s="98">
        <f t="shared" si="267"/>
        <v>1.4313783828810811</v>
      </c>
      <c r="AM455" s="98" t="str">
        <f t="shared" si="252"/>
        <v>1+18146.404028473i</v>
      </c>
      <c r="AN455" s="98">
        <f t="shared" si="268"/>
        <v>18146.404056026666</v>
      </c>
      <c r="AO455" s="98">
        <f t="shared" si="269"/>
        <v>1.5707412194580701</v>
      </c>
      <c r="AP455" s="168" t="str">
        <f t="shared" si="270"/>
        <v>-0.506391558180777+3.61006519988607i</v>
      </c>
      <c r="AQ455" s="98">
        <f t="shared" si="271"/>
        <v>11.23492404616198</v>
      </c>
      <c r="AR455" s="169">
        <f t="shared" si="272"/>
        <v>97.984902356832876</v>
      </c>
      <c r="AS455" s="168" t="str">
        <f t="shared" si="273"/>
        <v>-0.000103364936950088+0.0000742519629243615i</v>
      </c>
      <c r="AT455" s="190">
        <f t="shared" si="274"/>
        <v>-77.905476091023104</v>
      </c>
      <c r="AU455" s="169">
        <f t="shared" si="275"/>
        <v>144.30851066873262</v>
      </c>
      <c r="AV455" s="225"/>
      <c r="AX455">
        <f t="shared" si="276"/>
        <v>0</v>
      </c>
      <c r="AY455">
        <f t="shared" si="277"/>
        <v>0</v>
      </c>
    </row>
    <row r="456" spans="14:51" x14ac:dyDescent="0.2">
      <c r="N456" s="170">
        <v>38</v>
      </c>
      <c r="O456" s="199">
        <f t="shared" si="278"/>
        <v>239883.29190194907</v>
      </c>
      <c r="P456" s="189" t="str">
        <f t="shared" si="244"/>
        <v>771.276595744681</v>
      </c>
      <c r="Q456" s="160" t="str">
        <f t="shared" si="245"/>
        <v>1+1537375.79861852i</v>
      </c>
      <c r="R456" s="160">
        <f t="shared" si="253"/>
        <v>1537375.7986188449</v>
      </c>
      <c r="S456" s="160">
        <f t="shared" si="254"/>
        <v>1.5707956763358475</v>
      </c>
      <c r="T456" s="160" t="str">
        <f t="shared" si="246"/>
        <v>1+0.361735482027888i</v>
      </c>
      <c r="U456" s="160">
        <f t="shared" si="255"/>
        <v>1.0634155156654188</v>
      </c>
      <c r="V456" s="160">
        <f t="shared" si="256"/>
        <v>0.34709109874106459</v>
      </c>
      <c r="W456" s="98" t="str">
        <f t="shared" si="247"/>
        <v>1-1.02491719907901i</v>
      </c>
      <c r="X456" s="160">
        <f t="shared" si="257"/>
        <v>1.4319410829248398</v>
      </c>
      <c r="Y456" s="160">
        <f t="shared" si="258"/>
        <v>-0.79770283518776808</v>
      </c>
      <c r="Z456" s="98" t="str">
        <f t="shared" si="248"/>
        <v>-22.0175974934864-7.01741557414772i</v>
      </c>
      <c r="AA456" s="160">
        <f t="shared" si="259"/>
        <v>23.108845075543464</v>
      </c>
      <c r="AB456" s="160">
        <f t="shared" si="260"/>
        <v>-2.8330526078150577</v>
      </c>
      <c r="AC456" s="171" t="str">
        <f t="shared" si="261"/>
        <v>0.000022754196812072+0.0000239811425048975i</v>
      </c>
      <c r="AD456" s="190">
        <f t="shared" si="262"/>
        <v>-89.614399725680215</v>
      </c>
      <c r="AE456" s="169">
        <f t="shared" si="263"/>
        <v>46.503844137435152</v>
      </c>
      <c r="AF456" s="98" t="str">
        <f t="shared" si="249"/>
        <v>-0.0000119284294234592</v>
      </c>
      <c r="AG456" s="98" t="str">
        <f t="shared" si="250"/>
        <v>0.00844381048923596i</v>
      </c>
      <c r="AH456" s="98">
        <f t="shared" si="264"/>
        <v>8.4438104892359603E-3</v>
      </c>
      <c r="AI456" s="98">
        <f t="shared" si="265"/>
        <v>1.5707963267948966</v>
      </c>
      <c r="AJ456" s="98" t="str">
        <f t="shared" si="251"/>
        <v>1+7.29213412058645i</v>
      </c>
      <c r="AK456" s="98">
        <f t="shared" si="266"/>
        <v>7.3603817857921694</v>
      </c>
      <c r="AL456" s="98">
        <f t="shared" si="267"/>
        <v>1.4345123261982697</v>
      </c>
      <c r="AM456" s="98" t="str">
        <f t="shared" si="252"/>
        <v>1+18569.0880774316i</v>
      </c>
      <c r="AN456" s="98">
        <f t="shared" si="268"/>
        <v>18569.08810435807</v>
      </c>
      <c r="AO456" s="98">
        <f t="shared" si="269"/>
        <v>1.5707424738541995</v>
      </c>
      <c r="AP456" s="168" t="str">
        <f t="shared" si="270"/>
        <v>-0.484020881091695+3.53095786530891i</v>
      </c>
      <c r="AQ456" s="98">
        <f t="shared" si="271"/>
        <v>11.03870045308568</v>
      </c>
      <c r="AR456" s="169">
        <f t="shared" si="272"/>
        <v>97.805412503128792</v>
      </c>
      <c r="AS456" s="168" t="str">
        <f t="shared" si="273"/>
        <v>-0.0000956899101362746+0.0000687367364775666i</v>
      </c>
      <c r="AT456" s="190">
        <f t="shared" si="274"/>
        <v>-78.575699272594534</v>
      </c>
      <c r="AU456" s="169">
        <f t="shared" si="275"/>
        <v>144.30925664056394</v>
      </c>
      <c r="AV456" s="225"/>
      <c r="AX456">
        <f t="shared" si="276"/>
        <v>0</v>
      </c>
      <c r="AY456">
        <f t="shared" si="277"/>
        <v>0</v>
      </c>
    </row>
    <row r="457" spans="14:51" x14ac:dyDescent="0.2">
      <c r="N457" s="170">
        <v>39</v>
      </c>
      <c r="O457" s="199">
        <f t="shared" si="278"/>
        <v>245470.89156850305</v>
      </c>
      <c r="P457" s="189" t="str">
        <f t="shared" si="244"/>
        <v>771.276595744681</v>
      </c>
      <c r="Q457" s="160" t="str">
        <f t="shared" si="245"/>
        <v>1+1573185.88122836i</v>
      </c>
      <c r="R457" s="160">
        <f t="shared" si="253"/>
        <v>1573185.8812286779</v>
      </c>
      <c r="S457" s="160">
        <f t="shared" si="254"/>
        <v>1.5707956911421033</v>
      </c>
      <c r="T457" s="160" t="str">
        <f t="shared" si="246"/>
        <v>1+0.370161383818437i</v>
      </c>
      <c r="U457" s="160">
        <f t="shared" si="255"/>
        <v>1.0663111413046289</v>
      </c>
      <c r="V457" s="160">
        <f t="shared" si="256"/>
        <v>0.35452186242683548</v>
      </c>
      <c r="W457" s="98" t="str">
        <f t="shared" si="247"/>
        <v>1-1.04879058748557i</v>
      </c>
      <c r="X457" s="160">
        <f t="shared" si="257"/>
        <v>1.4491244585605225</v>
      </c>
      <c r="Y457" s="160">
        <f t="shared" si="258"/>
        <v>-0.80920799906625951</v>
      </c>
      <c r="Z457" s="98" t="str">
        <f t="shared" si="248"/>
        <v>-23.1023834429743-7.18087218094717i</v>
      </c>
      <c r="AA457" s="160">
        <f t="shared" si="259"/>
        <v>24.192665128615204</v>
      </c>
      <c r="AB457" s="160">
        <f t="shared" si="260"/>
        <v>-2.8402315758102183</v>
      </c>
      <c r="AC457" s="171" t="str">
        <f t="shared" si="261"/>
        <v>0.0000214828605401148+0.0000227824920210468i</v>
      </c>
      <c r="AD457" s="190">
        <f t="shared" si="262"/>
        <v>-90.085279352850179</v>
      </c>
      <c r="AE457" s="169">
        <f t="shared" si="263"/>
        <v>46.681721921391436</v>
      </c>
      <c r="AF457" s="98" t="str">
        <f t="shared" si="249"/>
        <v>-0.0000119284294234592</v>
      </c>
      <c r="AG457" s="98" t="str">
        <f t="shared" si="250"/>
        <v>0.00864049210178189i</v>
      </c>
      <c r="AH457" s="98">
        <f t="shared" si="264"/>
        <v>8.6404921017818898E-3</v>
      </c>
      <c r="AI457" s="98">
        <f t="shared" si="265"/>
        <v>1.5707963267948966</v>
      </c>
      <c r="AJ457" s="98" t="str">
        <f t="shared" si="251"/>
        <v>1+7.46198974436748i</v>
      </c>
      <c r="AK457" s="98">
        <f t="shared" si="266"/>
        <v>7.528697825324473</v>
      </c>
      <c r="AL457" s="98">
        <f t="shared" si="267"/>
        <v>1.4375775373874533</v>
      </c>
      <c r="AM457" s="98" t="str">
        <f t="shared" si="252"/>
        <v>1+19001.6177026798i</v>
      </c>
      <c r="AN457" s="98">
        <f t="shared" si="268"/>
        <v>19001.617728993348</v>
      </c>
      <c r="AO457" s="98">
        <f t="shared" si="269"/>
        <v>1.5707436996967872</v>
      </c>
      <c r="AP457" s="168" t="str">
        <f t="shared" si="270"/>
        <v>-0.46262068658508+3.45345134545787i</v>
      </c>
      <c r="AQ457" s="98">
        <f t="shared" si="271"/>
        <v>10.842309961697094</v>
      </c>
      <c r="AR457" s="169">
        <f t="shared" si="272"/>
        <v>97.629859074278912</v>
      </c>
      <c r="AS457" s="168" t="str">
        <f t="shared" si="273"/>
        <v>-0.0000886166434158467+0.0000636503615356475i</v>
      </c>
      <c r="AT457" s="190">
        <f t="shared" si="274"/>
        <v>-79.242969391153096</v>
      </c>
      <c r="AU457" s="169">
        <f t="shared" si="275"/>
        <v>144.31158099567034</v>
      </c>
      <c r="AV457" s="225"/>
      <c r="AX457">
        <f t="shared" si="276"/>
        <v>0</v>
      </c>
      <c r="AY457">
        <f t="shared" si="277"/>
        <v>0</v>
      </c>
    </row>
    <row r="458" spans="14:51" x14ac:dyDescent="0.2">
      <c r="N458" s="170">
        <v>40</v>
      </c>
      <c r="O458" s="199">
        <f t="shared" si="278"/>
        <v>251188.64315095844</v>
      </c>
      <c r="P458" s="189" t="str">
        <f t="shared" si="244"/>
        <v>771.276595744681</v>
      </c>
      <c r="Q458" s="160" t="str">
        <f t="shared" si="245"/>
        <v>1+1609830.08781601i</v>
      </c>
      <c r="R458" s="160">
        <f t="shared" si="253"/>
        <v>1609830.0878163206</v>
      </c>
      <c r="S458" s="160">
        <f t="shared" si="254"/>
        <v>1.5707957056113273</v>
      </c>
      <c r="T458" s="160" t="str">
        <f t="shared" si="246"/>
        <v>1+0.378783550074355i</v>
      </c>
      <c r="U458" s="160">
        <f t="shared" si="255"/>
        <v>1.0693348296052698</v>
      </c>
      <c r="V458" s="160">
        <f t="shared" si="256"/>
        <v>0.36208362212794898</v>
      </c>
      <c r="W458" s="98" t="str">
        <f t="shared" si="247"/>
        <v>1-1.073220058544i</v>
      </c>
      <c r="X458" s="160">
        <f t="shared" si="257"/>
        <v>1.4669019374386232</v>
      </c>
      <c r="Y458" s="160">
        <f t="shared" si="258"/>
        <v>-0.82070056106417666</v>
      </c>
      <c r="Z458" s="98" t="str">
        <f t="shared" si="248"/>
        <v>-24.2382937792079-7.34813618122708i</v>
      </c>
      <c r="AA458" s="160">
        <f t="shared" si="259"/>
        <v>25.327652687626752</v>
      </c>
      <c r="AB458" s="160">
        <f t="shared" si="260"/>
        <v>-2.8472372242370185</v>
      </c>
      <c r="AC458" s="171" t="str">
        <f t="shared" si="261"/>
        <v>0.0000202901614492249+0.0000216506278056215i</v>
      </c>
      <c r="AD458" s="190">
        <f t="shared" si="262"/>
        <v>-90.553000691324797</v>
      </c>
      <c r="AE458" s="169">
        <f t="shared" si="263"/>
        <v>46.85789679826668</v>
      </c>
      <c r="AF458" s="98" t="str">
        <f t="shared" si="249"/>
        <v>-0.0000119284294234592</v>
      </c>
      <c r="AG458" s="98" t="str">
        <f t="shared" si="250"/>
        <v>0.00884175501761062i</v>
      </c>
      <c r="AH458" s="98">
        <f t="shared" si="264"/>
        <v>8.8417550176106193E-3</v>
      </c>
      <c r="AI458" s="98">
        <f t="shared" si="265"/>
        <v>1.5707963267948966</v>
      </c>
      <c r="AJ458" s="98" t="str">
        <f t="shared" si="251"/>
        <v>1+7.63580181388213i</v>
      </c>
      <c r="AK458" s="98">
        <f t="shared" si="266"/>
        <v>7.7010044371423163</v>
      </c>
      <c r="AL458" s="98">
        <f t="shared" si="267"/>
        <v>1.4405754111486337</v>
      </c>
      <c r="AM458" s="98" t="str">
        <f t="shared" si="252"/>
        <v>1+19444.2222371502i</v>
      </c>
      <c r="AN458" s="98">
        <f t="shared" si="268"/>
        <v>19444.22226286478</v>
      </c>
      <c r="AO458" s="98">
        <f t="shared" si="269"/>
        <v>1.5707448976357909</v>
      </c>
      <c r="AP458" s="168" t="str">
        <f t="shared" si="270"/>
        <v>-0.442150412515968+3.37752202390332i</v>
      </c>
      <c r="AQ458" s="98">
        <f t="shared" si="271"/>
        <v>10.645759818365192</v>
      </c>
      <c r="AR458" s="169">
        <f t="shared" si="272"/>
        <v>97.458162197099327</v>
      </c>
      <c r="AS458" s="168" t="str">
        <f t="shared" si="273"/>
        <v>-0.0000820967754996106+0.000058957633147826i</v>
      </c>
      <c r="AT458" s="190">
        <f t="shared" si="274"/>
        <v>-79.907240872959605</v>
      </c>
      <c r="AU458" s="169">
        <f t="shared" si="275"/>
        <v>144.31605899536601</v>
      </c>
      <c r="AV458" s="225"/>
      <c r="AX458">
        <f t="shared" si="276"/>
        <v>0</v>
      </c>
      <c r="AY458">
        <f t="shared" si="277"/>
        <v>0</v>
      </c>
    </row>
    <row r="459" spans="14:51" x14ac:dyDescent="0.2">
      <c r="N459" s="170">
        <v>41</v>
      </c>
      <c r="O459" s="199">
        <f t="shared" si="278"/>
        <v>257039.57827688678</v>
      </c>
      <c r="P459" s="189" t="str">
        <f t="shared" si="244"/>
        <v>771.276595744681</v>
      </c>
      <c r="Q459" s="160" t="str">
        <f t="shared" si="245"/>
        <v>1+1647327.84762483i</v>
      </c>
      <c r="R459" s="160">
        <f t="shared" si="253"/>
        <v>1647327.8476251336</v>
      </c>
      <c r="S459" s="160">
        <f t="shared" si="254"/>
        <v>1.5707957197511917</v>
      </c>
      <c r="T459" s="160" t="str">
        <f t="shared" si="246"/>
        <v>1+0.387606552382313i</v>
      </c>
      <c r="U459" s="160">
        <f t="shared" si="255"/>
        <v>1.07249188316262</v>
      </c>
      <c r="V459" s="160">
        <f t="shared" si="256"/>
        <v>0.36977692712775367</v>
      </c>
      <c r="W459" s="98" t="str">
        <f t="shared" si="247"/>
        <v>1-1.09821856508322i</v>
      </c>
      <c r="X459" s="160">
        <f t="shared" si="257"/>
        <v>1.485289203048836</v>
      </c>
      <c r="Y459" s="160">
        <f t="shared" si="258"/>
        <v>-0.83217447232735453</v>
      </c>
      <c r="Z459" s="98" t="str">
        <f t="shared" si="248"/>
        <v>-25.4277379203039-7.51929626057432i</v>
      </c>
      <c r="AA459" s="160">
        <f t="shared" si="259"/>
        <v>26.516215265341845</v>
      </c>
      <c r="AB459" s="160">
        <f t="shared" si="260"/>
        <v>-2.8540741055881744</v>
      </c>
      <c r="AC459" s="171" t="str">
        <f t="shared" si="261"/>
        <v>0.0000191707229252436+0.0000205818426377828i</v>
      </c>
      <c r="AD459" s="190">
        <f t="shared" si="262"/>
        <v>-91.017527702346882</v>
      </c>
      <c r="AE459" s="169">
        <f t="shared" si="263"/>
        <v>47.033007651673081</v>
      </c>
      <c r="AF459" s="98" t="str">
        <f t="shared" si="249"/>
        <v>-0.0000119284294234592</v>
      </c>
      <c r="AG459" s="98" t="str">
        <f t="shared" si="250"/>
        <v>0.00904770594898415i</v>
      </c>
      <c r="AH459" s="98">
        <f t="shared" si="264"/>
        <v>9.0477059489841496E-3</v>
      </c>
      <c r="AI459" s="98">
        <f t="shared" si="265"/>
        <v>1.5707963267948966</v>
      </c>
      <c r="AJ459" s="98" t="str">
        <f t="shared" si="251"/>
        <v>1+7.81366248659023i</v>
      </c>
      <c r="AK459" s="98">
        <f t="shared" si="266"/>
        <v>7.8773930620699284</v>
      </c>
      <c r="AL459" s="98">
        <f t="shared" si="267"/>
        <v>1.4435073213389662</v>
      </c>
      <c r="AM459" s="98" t="str">
        <f t="shared" si="252"/>
        <v>1+19897.1363556254i</v>
      </c>
      <c r="AN459" s="98">
        <f t="shared" si="268"/>
        <v>19897.136380754644</v>
      </c>
      <c r="AO459" s="98">
        <f t="shared" si="269"/>
        <v>1.5707460683063743</v>
      </c>
      <c r="AP459" s="168" t="str">
        <f t="shared" si="270"/>
        <v>-0.422571058550299+3.30314602080751i</v>
      </c>
      <c r="AQ459" s="98">
        <f t="shared" si="271"/>
        <v>10.449056966070378</v>
      </c>
      <c r="AR459" s="169">
        <f t="shared" si="272"/>
        <v>97.290243191765484</v>
      </c>
      <c r="AS459" s="168" t="str">
        <f t="shared" si="273"/>
        <v>-0.0000760858242895733+0.0000546264061161581i</v>
      </c>
      <c r="AT459" s="190">
        <f t="shared" si="274"/>
        <v>-80.568470736276495</v>
      </c>
      <c r="AU459" s="169">
        <f t="shared" si="275"/>
        <v>144.32325084343859</v>
      </c>
      <c r="AV459" s="225"/>
      <c r="AX459">
        <f t="shared" si="276"/>
        <v>0</v>
      </c>
      <c r="AY459">
        <f t="shared" si="277"/>
        <v>0</v>
      </c>
    </row>
    <row r="460" spans="14:51" x14ac:dyDescent="0.2">
      <c r="N460" s="170">
        <v>42</v>
      </c>
      <c r="O460" s="199">
        <f t="shared" si="278"/>
        <v>263026.79918953858</v>
      </c>
      <c r="P460" s="189" t="str">
        <f t="shared" si="244"/>
        <v>771.276595744681</v>
      </c>
      <c r="Q460" s="160" t="str">
        <f t="shared" si="245"/>
        <v>1+1685699.04246342i</v>
      </c>
      <c r="R460" s="160">
        <f t="shared" si="253"/>
        <v>1685699.0424637164</v>
      </c>
      <c r="S460" s="160">
        <f t="shared" si="254"/>
        <v>1.5707957335691933</v>
      </c>
      <c r="T460" s="160" t="str">
        <f t="shared" si="246"/>
        <v>1+0.396635068814923i</v>
      </c>
      <c r="U460" s="160">
        <f t="shared" si="255"/>
        <v>1.0757877940438898</v>
      </c>
      <c r="V460" s="160">
        <f t="shared" si="256"/>
        <v>0.37760221275872941</v>
      </c>
      <c r="W460" s="98" t="str">
        <f t="shared" si="247"/>
        <v>1-1.12379936164228i</v>
      </c>
      <c r="X460" s="160">
        <f t="shared" si="257"/>
        <v>1.5043021655331072</v>
      </c>
      <c r="Y460" s="160">
        <f t="shared" si="258"/>
        <v>-0.84362373310680228</v>
      </c>
      <c r="Z460" s="98" t="str">
        <f t="shared" si="248"/>
        <v>-26.6732388367575-7.69444317032857i</v>
      </c>
      <c r="AA460" s="160">
        <f t="shared" si="259"/>
        <v>27.760874009009957</v>
      </c>
      <c r="AB460" s="160">
        <f t="shared" si="260"/>
        <v>-2.860746634175062</v>
      </c>
      <c r="AC460" s="171" t="str">
        <f t="shared" si="261"/>
        <v>0.0000181195652946247+0.0000195726098292295i</v>
      </c>
      <c r="AD460" s="190">
        <f t="shared" si="262"/>
        <v>-91.478826582191815</v>
      </c>
      <c r="AE460" s="169">
        <f t="shared" si="263"/>
        <v>47.207676105601202</v>
      </c>
      <c r="AF460" s="98" t="str">
        <f t="shared" si="249"/>
        <v>-0.0000119284294234592</v>
      </c>
      <c r="AG460" s="98" t="str">
        <f t="shared" si="250"/>
        <v>0.00925845409381237i</v>
      </c>
      <c r="AH460" s="98">
        <f t="shared" si="264"/>
        <v>9.2584540938123704E-3</v>
      </c>
      <c r="AI460" s="98">
        <f t="shared" si="265"/>
        <v>1.5707963267948966</v>
      </c>
      <c r="AJ460" s="98" t="str">
        <f t="shared" si="251"/>
        <v>1+7.99566606657479i</v>
      </c>
      <c r="AK460" s="98">
        <f t="shared" si="266"/>
        <v>8.0579572999722195</v>
      </c>
      <c r="AL460" s="98">
        <f t="shared" si="267"/>
        <v>1.4463746207649999</v>
      </c>
      <c r="AM460" s="98" t="str">
        <f t="shared" si="252"/>
        <v>1+20360.600199166i</v>
      </c>
      <c r="AN460" s="98">
        <f t="shared" si="268"/>
        <v>20360.600223723231</v>
      </c>
      <c r="AO460" s="98">
        <f t="shared" si="269"/>
        <v>1.5707472123292416</v>
      </c>
      <c r="AP460" s="168" t="str">
        <f t="shared" si="270"/>
        <v>-0.403845137771846+3.23029924664629i</v>
      </c>
      <c r="AQ460" s="98">
        <f t="shared" si="271"/>
        <v>10.252208056131785</v>
      </c>
      <c r="AR460" s="169">
        <f t="shared" si="272"/>
        <v>97.126024583735443</v>
      </c>
      <c r="AS460" s="168" t="str">
        <f t="shared" si="273"/>
        <v>-0.0000705428851290355+0.0000506273148077447i</v>
      </c>
      <c r="AT460" s="190">
        <f t="shared" si="274"/>
        <v>-81.226618526060022</v>
      </c>
      <c r="AU460" s="169">
        <f t="shared" si="275"/>
        <v>144.33370068933664</v>
      </c>
      <c r="AV460" s="225"/>
      <c r="AX460">
        <f t="shared" si="276"/>
        <v>0</v>
      </c>
      <c r="AY460">
        <f t="shared" si="277"/>
        <v>0</v>
      </c>
    </row>
    <row r="461" spans="14:51" x14ac:dyDescent="0.2">
      <c r="N461" s="170">
        <v>43</v>
      </c>
      <c r="O461" s="199">
        <f t="shared" si="278"/>
        <v>269153.48039269145</v>
      </c>
      <c r="P461" s="189" t="str">
        <f t="shared" si="244"/>
        <v>771.276595744681</v>
      </c>
      <c r="Q461" s="160" t="str">
        <f t="shared" si="245"/>
        <v>1+1724964.0172472i</v>
      </c>
      <c r="R461" s="160">
        <f t="shared" si="253"/>
        <v>1724964.0172474899</v>
      </c>
      <c r="S461" s="160">
        <f t="shared" si="254"/>
        <v>1.570795747072659</v>
      </c>
      <c r="T461" s="160" t="str">
        <f t="shared" si="246"/>
        <v>1+0.405873886411106i</v>
      </c>
      <c r="U461" s="160">
        <f t="shared" si="255"/>
        <v>1.079228248180363</v>
      </c>
      <c r="V461" s="160">
        <f t="shared" si="256"/>
        <v>0.38555979360608661</v>
      </c>
      <c r="W461" s="98" t="str">
        <f t="shared" si="247"/>
        <v>1-1.14997601149813i</v>
      </c>
      <c r="X461" s="160">
        <f t="shared" si="257"/>
        <v>1.5239569636381294</v>
      </c>
      <c r="Y461" s="160">
        <f t="shared" si="258"/>
        <v>-0.85504240826194355</v>
      </c>
      <c r="Z461" s="98" t="str">
        <f t="shared" si="248"/>
        <v>-27.9774384029997-7.87366977569975i</v>
      </c>
      <c r="AA461" s="160">
        <f t="shared" si="259"/>
        <v>29.064269048617238</v>
      </c>
      <c r="AB461" s="160">
        <f t="shared" si="260"/>
        <v>-2.8672590909145015</v>
      </c>
      <c r="AC461" s="171" t="str">
        <f t="shared" si="261"/>
        <v>0.000017132075294014+0.0000186195782295082i</v>
      </c>
      <c r="AD461" s="190">
        <f t="shared" si="262"/>
        <v>-91.936865706439761</v>
      </c>
      <c r="AE461" s="169">
        <f t="shared" si="263"/>
        <v>47.382505521008369</v>
      </c>
      <c r="AF461" s="98" t="str">
        <f t="shared" si="249"/>
        <v>-0.0000119284294234592</v>
      </c>
      <c r="AG461" s="98" t="str">
        <f t="shared" si="250"/>
        <v>0.00947411119355124i</v>
      </c>
      <c r="AH461" s="98">
        <f t="shared" si="264"/>
        <v>9.4741111935512396E-3</v>
      </c>
      <c r="AI461" s="98">
        <f t="shared" si="265"/>
        <v>1.5707963267948966</v>
      </c>
      <c r="AJ461" s="98" t="str">
        <f t="shared" si="251"/>
        <v>1+8.18190905454302i</v>
      </c>
      <c r="AK461" s="98">
        <f t="shared" si="266"/>
        <v>8.2427929597202105</v>
      </c>
      <c r="AL461" s="98">
        <f t="shared" si="267"/>
        <v>1.4491786410203984</v>
      </c>
      <c r="AM461" s="98" t="str">
        <f t="shared" si="252"/>
        <v>1+20834.8595024368i</v>
      </c>
      <c r="AN461" s="98">
        <f t="shared" si="268"/>
        <v>20834.859526435041</v>
      </c>
      <c r="AO461" s="98">
        <f t="shared" si="269"/>
        <v>1.5707483303109695</v>
      </c>
      <c r="AP461" s="168" t="str">
        <f t="shared" si="270"/>
        <v>-0.385936628702969+3.15895745211317i</v>
      </c>
      <c r="AQ461" s="98">
        <f t="shared" si="271"/>
        <v>10.055219459567406</v>
      </c>
      <c r="AR461" s="169">
        <f t="shared" si="272"/>
        <v>96.965430113066475</v>
      </c>
      <c r="AS461" s="168" t="str">
        <f t="shared" si="273"/>
        <v>-0.0000654303507849663+0.0000469335196704219i</v>
      </c>
      <c r="AT461" s="190">
        <f t="shared" si="274"/>
        <v>-81.881646246872336</v>
      </c>
      <c r="AU461" s="169">
        <f t="shared" si="275"/>
        <v>144.34793563407484</v>
      </c>
      <c r="AV461" s="225"/>
      <c r="AX461">
        <f t="shared" si="276"/>
        <v>0</v>
      </c>
      <c r="AY461">
        <f t="shared" si="277"/>
        <v>0</v>
      </c>
    </row>
    <row r="462" spans="14:51" x14ac:dyDescent="0.2">
      <c r="N462" s="170">
        <v>44</v>
      </c>
      <c r="O462" s="199">
        <f t="shared" si="278"/>
        <v>275422.87033381703</v>
      </c>
      <c r="P462" s="189" t="str">
        <f t="shared" si="244"/>
        <v>771.276595744681</v>
      </c>
      <c r="Q462" s="160" t="str">
        <f t="shared" si="245"/>
        <v>1+1765143.59078552i</v>
      </c>
      <c r="R462" s="160">
        <f t="shared" si="253"/>
        <v>1765143.5907858028</v>
      </c>
      <c r="S462" s="160">
        <f t="shared" si="254"/>
        <v>1.5707957602687481</v>
      </c>
      <c r="T462" s="160" t="str">
        <f t="shared" si="246"/>
        <v>1+0.41532790371424i</v>
      </c>
      <c r="U462" s="160">
        <f t="shared" si="255"/>
        <v>1.0828191296812524</v>
      </c>
      <c r="V462" s="160">
        <f t="shared" si="256"/>
        <v>0.39364985665661334</v>
      </c>
      <c r="W462" s="98" t="str">
        <f t="shared" si="247"/>
        <v>1-1.17676239385701i</v>
      </c>
      <c r="X462" s="160">
        <f t="shared" si="257"/>
        <v>1.5442699672000619</v>
      </c>
      <c r="Y462" s="160">
        <f t="shared" si="258"/>
        <v>-0.86642464235307981</v>
      </c>
      <c r="Z462" s="98" t="str">
        <f t="shared" si="248"/>
        <v>-29.3431030011676-8.05707110500634i</v>
      </c>
      <c r="AA462" s="160">
        <f t="shared" si="259"/>
        <v>30.429165097456401</v>
      </c>
      <c r="AB462" s="160">
        <f t="shared" si="260"/>
        <v>-2.8736156279712288</v>
      </c>
      <c r="AC462" s="171" t="str">
        <f t="shared" si="261"/>
        <v>0.0000162039778867+0.0000177195667903645i</v>
      </c>
      <c r="AD462" s="190">
        <f t="shared" si="262"/>
        <v>-92.391615572306677</v>
      </c>
      <c r="AE462" s="169">
        <f t="shared" si="263"/>
        <v>47.558080004534979</v>
      </c>
      <c r="AF462" s="98" t="str">
        <f t="shared" si="249"/>
        <v>-0.0000119284294234592</v>
      </c>
      <c r="AG462" s="98" t="str">
        <f t="shared" si="250"/>
        <v>0.00969479159244965i</v>
      </c>
      <c r="AH462" s="98">
        <f t="shared" si="264"/>
        <v>9.6947915924496496E-3</v>
      </c>
      <c r="AI462" s="98">
        <f t="shared" si="265"/>
        <v>1.5707963267948966</v>
      </c>
      <c r="AJ462" s="98" t="str">
        <f t="shared" si="251"/>
        <v>1+8.37249019899234i</v>
      </c>
      <c r="AK462" s="98">
        <f t="shared" si="266"/>
        <v>8.4319981103071182</v>
      </c>
      <c r="AL462" s="98">
        <f t="shared" si="267"/>
        <v>1.4519206923658912</v>
      </c>
      <c r="AM462" s="98" t="str">
        <f t="shared" si="252"/>
        <v>1+21320.1657239977i</v>
      </c>
      <c r="AN462" s="98">
        <f t="shared" si="268"/>
        <v>21320.165747449675</v>
      </c>
      <c r="AO462" s="98">
        <f t="shared" si="269"/>
        <v>1.5707494228443264</v>
      </c>
      <c r="AP462" s="168" t="str">
        <f t="shared" si="270"/>
        <v>-0.368810927855793+3.08909627440601i</v>
      </c>
      <c r="AQ462" s="98">
        <f t="shared" si="271"/>
        <v>9.8580972780896676</v>
      </c>
      <c r="AR462" s="169">
        <f t="shared" si="272"/>
        <v>96.808384741311912</v>
      </c>
      <c r="AS462" s="168" t="str">
        <f t="shared" si="273"/>
        <v>-0.000060713651875552+0.0000435204778512053i</v>
      </c>
      <c r="AT462" s="190">
        <f t="shared" si="274"/>
        <v>-82.533518294217018</v>
      </c>
      <c r="AU462" s="169">
        <f t="shared" si="275"/>
        <v>144.36646474584688</v>
      </c>
      <c r="AV462" s="225"/>
      <c r="AX462">
        <f t="shared" si="276"/>
        <v>0</v>
      </c>
      <c r="AY462">
        <f t="shared" si="277"/>
        <v>0</v>
      </c>
    </row>
    <row r="463" spans="14:51" x14ac:dyDescent="0.2">
      <c r="N463" s="170">
        <v>45</v>
      </c>
      <c r="O463" s="199">
        <f t="shared" si="278"/>
        <v>281838.29312644573</v>
      </c>
      <c r="P463" s="189" t="str">
        <f t="shared" si="244"/>
        <v>771.276595744681</v>
      </c>
      <c r="Q463" s="160" t="str">
        <f t="shared" si="245"/>
        <v>1+1806259.06682011i</v>
      </c>
      <c r="R463" s="160">
        <f t="shared" si="253"/>
        <v>1806259.0668203868</v>
      </c>
      <c r="S463" s="160">
        <f t="shared" si="254"/>
        <v>1.5707957731644577</v>
      </c>
      <c r="T463" s="160" t="str">
        <f t="shared" si="246"/>
        <v>1+0.425002133369438i</v>
      </c>
      <c r="U463" s="160">
        <f t="shared" si="255"/>
        <v>1.0865665250542986</v>
      </c>
      <c r="V463" s="160">
        <f t="shared" si="256"/>
        <v>0.40187245442218195</v>
      </c>
      <c r="W463" s="98" t="str">
        <f t="shared" si="247"/>
        <v>1-1.20417271121341i</v>
      </c>
      <c r="X463" s="160">
        <f t="shared" si="257"/>
        <v>1.565257780185441</v>
      </c>
      <c r="Y463" s="160">
        <f t="shared" si="258"/>
        <v>-0.87776467423148308</v>
      </c>
      <c r="Z463" s="98" t="str">
        <f t="shared" si="248"/>
        <v>-30.7731293889715-8.24474440006074i</v>
      </c>
      <c r="AA463" s="160">
        <f t="shared" si="259"/>
        <v>31.858457316899614</v>
      </c>
      <c r="AB463" s="160">
        <f t="shared" si="260"/>
        <v>-2.8798202732533915</v>
      </c>
      <c r="AC463" s="171" t="str">
        <f t="shared" si="261"/>
        <v>0.0000153313102556312+0.0000168695588038498i</v>
      </c>
      <c r="AD463" s="190">
        <f t="shared" si="262"/>
        <v>-92.843048739331948</v>
      </c>
      <c r="AE463" s="169">
        <f t="shared" si="263"/>
        <v>47.734963436133313</v>
      </c>
      <c r="AF463" s="98" t="str">
        <f t="shared" si="249"/>
        <v>-0.0000119284294234592</v>
      </c>
      <c r="AG463" s="98" t="str">
        <f t="shared" si="250"/>
        <v>0.0099206122981761i</v>
      </c>
      <c r="AH463" s="98">
        <f t="shared" si="264"/>
        <v>9.9206122981761007E-3</v>
      </c>
      <c r="AI463" s="98">
        <f t="shared" si="265"/>
        <v>1.5707963267948966</v>
      </c>
      <c r="AJ463" s="98" t="str">
        <f t="shared" si="251"/>
        <v>1+8.56751054856815i</v>
      </c>
      <c r="AK463" s="98">
        <f t="shared" si="266"/>
        <v>8.6256731331430885</v>
      </c>
      <c r="AL463" s="98">
        <f t="shared" si="267"/>
        <v>1.4546020636483612</v>
      </c>
      <c r="AM463" s="98" t="str">
        <f t="shared" si="252"/>
        <v>1+21816.7761796312i</v>
      </c>
      <c r="AN463" s="98">
        <f t="shared" si="268"/>
        <v>21816.776202549343</v>
      </c>
      <c r="AO463" s="98">
        <f t="shared" si="269"/>
        <v>1.5707504905085881</v>
      </c>
      <c r="AP463" s="168" t="str">
        <f t="shared" si="270"/>
        <v>-0.352434802915763+3.02069128009108i</v>
      </c>
      <c r="AQ463" s="98">
        <f t="shared" si="271"/>
        <v>9.6608473547421152</v>
      </c>
      <c r="AR463" s="169">
        <f t="shared" si="272"/>
        <v>96.654814656174921</v>
      </c>
      <c r="AS463" s="168" t="str">
        <f t="shared" si="273"/>
        <v>-0.0000563610164861566+0.0000403657355692454i</v>
      </c>
      <c r="AT463" s="190">
        <f t="shared" si="274"/>
        <v>-83.182201384589831</v>
      </c>
      <c r="AU463" s="169">
        <f t="shared" si="275"/>
        <v>144.38977809230826</v>
      </c>
      <c r="AV463" s="225"/>
      <c r="AX463">
        <f t="shared" si="276"/>
        <v>0</v>
      </c>
      <c r="AY463">
        <f t="shared" si="277"/>
        <v>0</v>
      </c>
    </row>
    <row r="464" spans="14:51" x14ac:dyDescent="0.2">
      <c r="N464" s="170">
        <v>46</v>
      </c>
      <c r="O464" s="199">
        <f t="shared" si="278"/>
        <v>288403.1503126609</v>
      </c>
      <c r="P464" s="189" t="str">
        <f t="shared" si="244"/>
        <v>771.276595744681</v>
      </c>
      <c r="Q464" s="160" t="str">
        <f t="shared" si="245"/>
        <v>1+1848332.2453206i</v>
      </c>
      <c r="R464" s="160">
        <f t="shared" si="253"/>
        <v>1848332.2453208705</v>
      </c>
      <c r="S464" s="160">
        <f t="shared" si="254"/>
        <v>1.570795785766625</v>
      </c>
      <c r="T464" s="160" t="str">
        <f t="shared" si="246"/>
        <v>1+0.434901704781317i</v>
      </c>
      <c r="U464" s="160">
        <f t="shared" si="255"/>
        <v>1.09047672731778</v>
      </c>
      <c r="V464" s="160">
        <f t="shared" si="256"/>
        <v>0.41022749807023667</v>
      </c>
      <c r="W464" s="98" t="str">
        <f t="shared" si="247"/>
        <v>1-1.2322214968804i</v>
      </c>
      <c r="X464" s="160">
        <f t="shared" si="257"/>
        <v>1.5869372443087262</v>
      </c>
      <c r="Y464" s="160">
        <f t="shared" si="258"/>
        <v>-0.88905685104126164</v>
      </c>
      <c r="Z464" s="98" t="str">
        <f t="shared" si="248"/>
        <v>-32.2705508441071-8.43678916772815i</v>
      </c>
      <c r="AA464" s="160">
        <f t="shared" si="259"/>
        <v>33.355177457821995</v>
      </c>
      <c r="AB464" s="160">
        <f t="shared" si="260"/>
        <v>-2.8858769347598279</v>
      </c>
      <c r="AC464" s="171" t="str">
        <f t="shared" si="261"/>
        <v>0.0000145103978129363+0.0000160666959119702i</v>
      </c>
      <c r="AD464" s="190">
        <f t="shared" si="262"/>
        <v>-93.291139768805621</v>
      </c>
      <c r="AE464" s="169">
        <f t="shared" si="263"/>
        <v>47.913698522305928</v>
      </c>
      <c r="AF464" s="98" t="str">
        <f t="shared" si="249"/>
        <v>-0.0000119284294234592</v>
      </c>
      <c r="AG464" s="98" t="str">
        <f t="shared" si="250"/>
        <v>0.0101516930438579i</v>
      </c>
      <c r="AH464" s="98">
        <f t="shared" si="264"/>
        <v>1.01516930438579E-2</v>
      </c>
      <c r="AI464" s="98">
        <f t="shared" si="265"/>
        <v>1.5707963267948966</v>
      </c>
      <c r="AJ464" s="98" t="str">
        <f t="shared" si="251"/>
        <v>1+8.76707350564123i</v>
      </c>
      <c r="AK464" s="98">
        <f t="shared" si="266"/>
        <v>8.8239207755575659</v>
      </c>
      <c r="AL464" s="98">
        <f t="shared" si="267"/>
        <v>1.4572240222561452</v>
      </c>
      <c r="AM464" s="98" t="str">
        <f t="shared" si="252"/>
        <v>1+22324.9541787743i</v>
      </c>
      <c r="AN464" s="98">
        <f t="shared" si="268"/>
        <v>22324.954201170764</v>
      </c>
      <c r="AO464" s="98">
        <f t="shared" si="269"/>
        <v>1.5707515338698441</v>
      </c>
      <c r="AP464" s="168" t="str">
        <f t="shared" si="270"/>
        <v>-0.336776346645905+2.95371800473161i</v>
      </c>
      <c r="AQ464" s="98">
        <f t="shared" si="271"/>
        <v>9.4634752841809675</v>
      </c>
      <c r="AR464" s="169">
        <f t="shared" si="272"/>
        <v>96.504647274087361</v>
      </c>
      <c r="AS464" s="168" t="str">
        <f t="shared" si="273"/>
        <v>-0.0000523432477555535+0.0000374487401239841i</v>
      </c>
      <c r="AT464" s="190">
        <f t="shared" si="274"/>
        <v>-83.827664484624648</v>
      </c>
      <c r="AU464" s="169">
        <f t="shared" si="275"/>
        <v>144.41834579639325</v>
      </c>
      <c r="AV464" s="225"/>
      <c r="AX464">
        <f t="shared" si="276"/>
        <v>0</v>
      </c>
      <c r="AY464">
        <f t="shared" si="277"/>
        <v>0</v>
      </c>
    </row>
    <row r="465" spans="14:51" x14ac:dyDescent="0.2">
      <c r="N465" s="170">
        <v>47</v>
      </c>
      <c r="O465" s="199">
        <f t="shared" si="278"/>
        <v>295120.92266663886</v>
      </c>
      <c r="P465" s="189" t="str">
        <f t="shared" si="244"/>
        <v>771.276595744681</v>
      </c>
      <c r="Q465" s="160" t="str">
        <f t="shared" si="245"/>
        <v>1+1891385.43404312i</v>
      </c>
      <c r="R465" s="160">
        <f t="shared" si="253"/>
        <v>1891385.4340433842</v>
      </c>
      <c r="S465" s="160">
        <f t="shared" si="254"/>
        <v>1.570795798081932</v>
      </c>
      <c r="T465" s="160" t="str">
        <f t="shared" si="246"/>
        <v>1+0.445031866833674i</v>
      </c>
      <c r="U465" s="160">
        <f t="shared" si="255"/>
        <v>1.0945562399883639</v>
      </c>
      <c r="V465" s="160">
        <f t="shared" si="256"/>
        <v>0.41871475059653507</v>
      </c>
      <c r="W465" s="98" t="str">
        <f t="shared" si="247"/>
        <v>1-1.26092362269541i</v>
      </c>
      <c r="X465" s="160">
        <f t="shared" si="257"/>
        <v>1.6093254432436332</v>
      </c>
      <c r="Y465" s="160">
        <f t="shared" si="258"/>
        <v>-0.90029564155396291</v>
      </c>
      <c r="Z465" s="98" t="str">
        <f t="shared" si="248"/>
        <v>-33.8385435982434-8.63330723268638i</v>
      </c>
      <c r="AA465" s="160">
        <f t="shared" si="259"/>
        <v>34.922500291705553</v>
      </c>
      <c r="AB465" s="160">
        <f t="shared" si="260"/>
        <v>-2.8917894047789967</v>
      </c>
      <c r="AC465" s="171" t="str">
        <f t="shared" si="261"/>
        <v>0.0000137378320759117+0.0000153082719708476i</v>
      </c>
      <c r="AD465" s="190">
        <f t="shared" si="262"/>
        <v>-93.735865162389516</v>
      </c>
      <c r="AE465" s="169">
        <f t="shared" si="263"/>
        <v>48.094805881496129</v>
      </c>
      <c r="AF465" s="98" t="str">
        <f t="shared" si="249"/>
        <v>-0.0000119284294234592</v>
      </c>
      <c r="AG465" s="98" t="str">
        <f t="shared" si="250"/>
        <v>0.010388156351565i</v>
      </c>
      <c r="AH465" s="98">
        <f t="shared" si="264"/>
        <v>1.0388156351565E-2</v>
      </c>
      <c r="AI465" s="98">
        <f t="shared" si="265"/>
        <v>1.5707963267948966</v>
      </c>
      <c r="AJ465" s="98" t="str">
        <f t="shared" si="251"/>
        <v>1+8.97128488113293i</v>
      </c>
      <c r="AK465" s="98">
        <f t="shared" si="266"/>
        <v>9.0268462055384724</v>
      </c>
      <c r="AL465" s="98">
        <f t="shared" si="267"/>
        <v>1.4597878141077827</v>
      </c>
      <c r="AM465" s="98" t="str">
        <f t="shared" si="252"/>
        <v>1+22844.9691641286i</v>
      </c>
      <c r="AN465" s="98">
        <f t="shared" si="268"/>
        <v>22844.969186015256</v>
      </c>
      <c r="AO465" s="98">
        <f t="shared" si="269"/>
        <v>1.5707525534812985</v>
      </c>
      <c r="AP465" s="168" t="str">
        <f t="shared" si="270"/>
        <v>-0.321804931587858+2.88815198946218i</v>
      </c>
      <c r="AQ465" s="98">
        <f t="shared" si="271"/>
        <v>9.2659864226088047</v>
      </c>
      <c r="AR465" s="169">
        <f t="shared" si="272"/>
        <v>96.357811240871612</v>
      </c>
      <c r="AS465" s="168" t="str">
        <f t="shared" si="273"/>
        <v>-0.0000486335182591859+0.0000347506696266348i</v>
      </c>
      <c r="AT465" s="190">
        <f t="shared" si="274"/>
        <v>-84.469878739780725</v>
      </c>
      <c r="AU465" s="169">
        <f t="shared" si="275"/>
        <v>144.45261712236774</v>
      </c>
      <c r="AV465" s="225"/>
      <c r="AX465">
        <f t="shared" si="276"/>
        <v>0</v>
      </c>
      <c r="AY465">
        <f t="shared" si="277"/>
        <v>0</v>
      </c>
    </row>
    <row r="466" spans="14:51" x14ac:dyDescent="0.2">
      <c r="N466" s="170">
        <v>48</v>
      </c>
      <c r="O466" s="199">
        <f t="shared" si="278"/>
        <v>301995.17204020242</v>
      </c>
      <c r="P466" s="189" t="str">
        <f t="shared" si="244"/>
        <v>771.276595744681</v>
      </c>
      <c r="Q466" s="160" t="str">
        <f t="shared" si="245"/>
        <v>1+1935441.46035821i</v>
      </c>
      <c r="R466" s="160">
        <f t="shared" si="253"/>
        <v>1935441.4603584681</v>
      </c>
      <c r="S466" s="160">
        <f t="shared" si="254"/>
        <v>1.5707958101169084</v>
      </c>
      <c r="T466" s="160" t="str">
        <f t="shared" si="246"/>
        <v>1+0.455397990672521i</v>
      </c>
      <c r="U466" s="160">
        <f t="shared" si="255"/>
        <v>1.0988117809290951</v>
      </c>
      <c r="V466" s="160">
        <f t="shared" si="256"/>
        <v>0.42733382007832632</v>
      </c>
      <c r="W466" s="98" t="str">
        <f t="shared" si="247"/>
        <v>1-1.29029430690547i</v>
      </c>
      <c r="X466" s="160">
        <f t="shared" si="257"/>
        <v>1.6324397074417993</v>
      </c>
      <c r="Y466" s="160">
        <f t="shared" si="258"/>
        <v>-0.91147564876433773</v>
      </c>
      <c r="Z466" s="98" t="str">
        <f t="shared" si="248"/>
        <v>-35.4804335742366-8.83440279141472i</v>
      </c>
      <c r="AA466" s="160">
        <f t="shared" si="259"/>
        <v>36.563750345072258</v>
      </c>
      <c r="AB466" s="160">
        <f t="shared" si="260"/>
        <v>-2.8975613639404378</v>
      </c>
      <c r="AC466" s="171" t="str">
        <f t="shared" si="261"/>
        <v>0.0000130104502691491+0.000014591726839403i</v>
      </c>
      <c r="AD466" s="190">
        <f t="shared" si="262"/>
        <v>-94.17720330044942</v>
      </c>
      <c r="AE466" s="169">
        <f t="shared" si="263"/>
        <v>48.278783167971199</v>
      </c>
      <c r="AF466" s="98" t="str">
        <f t="shared" si="249"/>
        <v>-0.0000119284294234592</v>
      </c>
      <c r="AG466" s="98" t="str">
        <f t="shared" si="250"/>
        <v>0.0106301275972733i</v>
      </c>
      <c r="AH466" s="98">
        <f t="shared" si="264"/>
        <v>1.06301275972733E-2</v>
      </c>
      <c r="AI466" s="98">
        <f t="shared" si="265"/>
        <v>1.5707963267948966</v>
      </c>
      <c r="AJ466" s="98" t="str">
        <f t="shared" si="251"/>
        <v>1+9.18025295061761i</v>
      </c>
      <c r="AK466" s="98">
        <f t="shared" si="266"/>
        <v>9.2345570677387308</v>
      </c>
      <c r="AL466" s="98">
        <f t="shared" si="267"/>
        <v>1.4622946636716139</v>
      </c>
      <c r="AM466" s="98" t="str">
        <f t="shared" si="252"/>
        <v>1+23377.0968545227i</v>
      </c>
      <c r="AN466" s="98">
        <f t="shared" si="268"/>
        <v>23377.096875911153</v>
      </c>
      <c r="AO466" s="98">
        <f t="shared" si="269"/>
        <v>1.5707535498835627</v>
      </c>
      <c r="AP466" s="168" t="str">
        <f t="shared" si="270"/>
        <v>-0.307491165624254+2.82396881468233i</v>
      </c>
      <c r="AQ466" s="98">
        <f t="shared" si="271"/>
        <v>9.068385897365367</v>
      </c>
      <c r="AR466" s="169">
        <f t="shared" si="272"/>
        <v>96.214236430634301</v>
      </c>
      <c r="AS466" s="168" t="str">
        <f t="shared" si="273"/>
        <v>-0.0000452071800653943+0.0000322542787307336i</v>
      </c>
      <c r="AT466" s="190">
        <f t="shared" si="274"/>
        <v>-85.108817403084046</v>
      </c>
      <c r="AU466" s="169">
        <f t="shared" si="275"/>
        <v>144.49301959860554</v>
      </c>
      <c r="AV466" s="225"/>
      <c r="AX466">
        <f t="shared" si="276"/>
        <v>0</v>
      </c>
      <c r="AY466">
        <f t="shared" si="277"/>
        <v>0</v>
      </c>
    </row>
    <row r="467" spans="14:51" x14ac:dyDescent="0.2">
      <c r="N467" s="170">
        <v>49</v>
      </c>
      <c r="O467" s="199">
        <f t="shared" si="278"/>
        <v>309029.54325135931</v>
      </c>
      <c r="P467" s="189" t="str">
        <f t="shared" ref="P467:P530" si="279">COMPLEX(Adc,0)</f>
        <v>771.276595744681</v>
      </c>
      <c r="Q467" s="160" t="str">
        <f t="shared" ref="Q467:Q530" si="280">IMSUM(COMPLEX(1,0),IMDIV(COMPLEX(0,2*PI()*O467),COMPLEX(wp_lf,0)))</f>
        <v>1+1980523.68335419i</v>
      </c>
      <c r="R467" s="160">
        <f t="shared" si="253"/>
        <v>1980523.6833544425</v>
      </c>
      <c r="S467" s="160">
        <f t="shared" si="254"/>
        <v>1.5707958218779352</v>
      </c>
      <c r="T467" s="160" t="str">
        <f t="shared" ref="T467:T530" si="281">IMSUM(COMPLEX(1,0),IMDIV(COMPLEX(0,2*PI()*O467),COMPLEX(wz_esr,0)))</f>
        <v>1+0.466005572553926i</v>
      </c>
      <c r="U467" s="160">
        <f t="shared" si="255"/>
        <v>1.1032502860417994</v>
      </c>
      <c r="V467" s="160">
        <f t="shared" si="256"/>
        <v>0.43608415304895204</v>
      </c>
      <c r="W467" s="98" t="str">
        <f t="shared" ref="W467:W530" si="282">IMSUB(COMPLEX(1,0),IMDIV(COMPLEX(0,2*PI()*O467),COMPLEX(wz_rhp,0)))</f>
        <v>1-1.32034912223612i</v>
      </c>
      <c r="X467" s="160">
        <f t="shared" si="257"/>
        <v>1.6562976195689267</v>
      </c>
      <c r="Y467" s="160">
        <f t="shared" si="258"/>
        <v>-0.92259162168390307</v>
      </c>
      <c r="Z467" s="98" t="str">
        <f t="shared" ref="Z467:Z530" si="283">IF(Dc_Mode_Loop="CCM",IMSUM(COMPLEX(1,0),IMDIV(COMPLEX(0,2*PI()*O467),COMPLEX(Q*(wsl/2),0)),IMDIV(IMPOWER(COMPLEX(0,2*PI()*O467),2),IMPOWER(COMPLEX(wsl/2,0),2))),COMPLEX(1,0))</f>
        <v>-37.1997034408576-9.04018246744021i</v>
      </c>
      <c r="AA467" s="160">
        <f t="shared" si="259"/>
        <v>38.282408951532375</v>
      </c>
      <c r="AB467" s="160">
        <f t="shared" si="260"/>
        <v>-2.9031963851204106</v>
      </c>
      <c r="AC467" s="171" t="str">
        <f t="shared" si="261"/>
        <v>0.0000123253165218378+0.000013914640151276i</v>
      </c>
      <c r="AD467" s="190">
        <f t="shared" si="262"/>
        <v>-94.615134380661132</v>
      </c>
      <c r="AE467" s="169">
        <f t="shared" si="263"/>
        <v>48.466104240271605</v>
      </c>
      <c r="AF467" s="98" t="str">
        <f t="shared" ref="AF467:AF530" si="284">COMPLEX(Adc_ea,0)</f>
        <v>-0.0000119284294234592</v>
      </c>
      <c r="AG467" s="98" t="str">
        <f t="shared" ref="AG467:AG530" si="285">COMPLEX(0,2*PI()*O467*wp0_ea)</f>
        <v>0.01087773507734i</v>
      </c>
      <c r="AH467" s="98">
        <f t="shared" si="264"/>
        <v>1.087773507734E-2</v>
      </c>
      <c r="AI467" s="98">
        <f t="shared" si="265"/>
        <v>1.5707963267948966</v>
      </c>
      <c r="AJ467" s="98" t="str">
        <f t="shared" ref="AJ467:AJ530" si="286">IMSUM(COMPLEX(1,0),IMDIV(COMPLEX(0,2*PI()*O467),COMPLEX(wp1_ea,0)))</f>
        <v>1+9.3940885117317i</v>
      </c>
      <c r="AK467" s="98">
        <f t="shared" si="266"/>
        <v>9.4471635407803483</v>
      </c>
      <c r="AL467" s="98">
        <f t="shared" si="267"/>
        <v>1.4647457740137662</v>
      </c>
      <c r="AM467" s="98" t="str">
        <f t="shared" ref="AM467:AM530" si="287">IMSUM(COMPLEX(1,0),IMDIV(COMPLEX(0,2*PI()*O467),COMPLEX(wz_ea,0)))</f>
        <v>1+23921.6193911015i</v>
      </c>
      <c r="AN467" s="98">
        <f t="shared" si="268"/>
        <v>23921.619412003092</v>
      </c>
      <c r="AO467" s="98">
        <f t="shared" si="269"/>
        <v>1.5707545236049425</v>
      </c>
      <c r="AP467" s="168" t="str">
        <f t="shared" si="270"/>
        <v>-0.293806848456939+2.76114413103665i</v>
      </c>
      <c r="AQ467" s="98">
        <f t="shared" si="271"/>
        <v>8.8706786161834543</v>
      </c>
      <c r="AR467" s="169">
        <f t="shared" si="272"/>
        <v>96.073853943033569</v>
      </c>
      <c r="AS467" s="168" t="str">
        <f t="shared" si="273"/>
        <v>-0.0000420415893926981+0.0000299437588071827i</v>
      </c>
      <c r="AT467" s="190">
        <f t="shared" si="274"/>
        <v>-85.744455764477664</v>
      </c>
      <c r="AU467" s="169">
        <f t="shared" si="275"/>
        <v>144.5399581833052</v>
      </c>
      <c r="AV467" s="225"/>
      <c r="AX467">
        <f t="shared" si="276"/>
        <v>0</v>
      </c>
      <c r="AY467">
        <f t="shared" si="277"/>
        <v>0</v>
      </c>
    </row>
    <row r="468" spans="14:51" x14ac:dyDescent="0.2">
      <c r="N468" s="170">
        <v>50</v>
      </c>
      <c r="O468" s="199">
        <f t="shared" si="278"/>
        <v>316227.7660168382</v>
      </c>
      <c r="P468" s="189" t="str">
        <f t="shared" si="279"/>
        <v>771.276595744681</v>
      </c>
      <c r="Q468" s="160" t="str">
        <f t="shared" si="280"/>
        <v>1+2026656.0062224i</v>
      </c>
      <c r="R468" s="160">
        <f t="shared" ref="R468:R531" si="288">IMABS(Q468)</f>
        <v>2026656.0062226467</v>
      </c>
      <c r="S468" s="160">
        <f t="shared" ref="S468:S531" si="289">IMARGUMENT(Q468)</f>
        <v>1.5707958333712486</v>
      </c>
      <c r="T468" s="160" t="str">
        <f t="shared" si="281"/>
        <v>1+0.476860236758212i</v>
      </c>
      <c r="U468" s="160">
        <f t="shared" ref="U468:U531" si="290">IMABS(T468)</f>
        <v>1.1078789127883508</v>
      </c>
      <c r="V468" s="160">
        <f t="shared" ref="V468:V531" si="291">IMARGUMENT(T468)</f>
        <v>0.44496502803764681</v>
      </c>
      <c r="W468" s="98" t="str">
        <f t="shared" si="282"/>
        <v>1-1.35110400414827i</v>
      </c>
      <c r="X468" s="160">
        <f t="shared" ref="X468:X531" si="292">IMABS(W468)</f>
        <v>1.6809170205651107</v>
      </c>
      <c r="Y468" s="160">
        <f t="shared" ref="Y468:Y531" si="293">IMARGUMENT(W468)</f>
        <v>-0.93363846627760594</v>
      </c>
      <c r="Z468" s="98" t="str">
        <f t="shared" si="283"/>
        <v>-39-9.25075536787089i</v>
      </c>
      <c r="AA468" s="160">
        <f t="shared" ref="AA468:AA531" si="294">IMABS(Z468)</f>
        <v>40.082121636412808</v>
      </c>
      <c r="AB468" s="160">
        <f t="shared" ref="AB468:AB531" si="295">IMARGUMENT(Z468)</f>
        <v>-2.9086979372040247</v>
      </c>
      <c r="AC468" s="171" t="str">
        <f t="shared" ref="AC468:AC531" si="296">(IMDIV(IMPRODUCT(P468,T468,W468),IMPRODUCT(Q468,Z468)))</f>
        <v>0.0000116797045382282+0.0000132747251188611i</v>
      </c>
      <c r="AD468" s="190">
        <f t="shared" ref="AD468:AD531" si="297">20*LOG(IMABS(AC468))</f>
        <v>-95.049640357487363</v>
      </c>
      <c r="AE468" s="169">
        <f t="shared" ref="AE468:AE531" si="298">(180/PI())*IMARGUMENT(AC468)</f>
        <v>48.657218379995214</v>
      </c>
      <c r="AF468" s="98" t="str">
        <f t="shared" si="284"/>
        <v>-0.0000119284294234592</v>
      </c>
      <c r="AG468" s="98" t="str">
        <f t="shared" si="285"/>
        <v>0.0111311100765286i</v>
      </c>
      <c r="AH468" s="98">
        <f t="shared" ref="AH468:AH531" si="299">IMABS(AG468)</f>
        <v>1.1131110076528601E-2</v>
      </c>
      <c r="AI468" s="98">
        <f t="shared" ref="AI468:AI531" si="300">IMARGUMENT(AG468)</f>
        <v>1.5707963267948966</v>
      </c>
      <c r="AJ468" s="98" t="str">
        <f t="shared" si="286"/>
        <v>1+9.61290494292018i</v>
      </c>
      <c r="AK468" s="98">
        <f t="shared" ref="AK468:AK531" si="301">IMABS(AJ468)</f>
        <v>9.6647783958877813</v>
      </c>
      <c r="AL468" s="98">
        <f t="shared" ref="AL468:AL531" si="302">IMARGUMENT(AJ468)</f>
        <v>1.4671423268722199</v>
      </c>
      <c r="AM468" s="98" t="str">
        <f t="shared" si="287"/>
        <v>1+24478.8254869216i</v>
      </c>
      <c r="AN468" s="98">
        <f t="shared" ref="AN468:AN531" si="303">IMABS(AM468)</f>
        <v>24478.825507347414</v>
      </c>
      <c r="AO468" s="98">
        <f t="shared" ref="AO468:AO531" si="304">IMARGUMENT(AM468)</f>
        <v>1.5707554751617177</v>
      </c>
      <c r="AP468" s="168" t="str">
        <f t="shared" ref="AP468:AP531" si="305">IMPRODUCT(AF468,IMDIV(AM468,IMPRODUCT(AG468,AJ468)))</f>
        <v>-0.28072492904594+2.69965368784085i</v>
      </c>
      <c r="AQ468" s="98">
        <f t="shared" ref="AQ468:AQ531" si="306">20*LOG(IMABS(AP468))</f>
        <v>8.6728692761161081</v>
      </c>
      <c r="AR468" s="169">
        <f t="shared" ref="AR468:AR531" si="307">(180/PI())*IMARGUMENT(AP468)</f>
        <v>95.936596099051386</v>
      </c>
      <c r="AS468" s="168" t="str">
        <f t="shared" ref="AS468:AS531" si="308">IMPRODUCT(AC468,AP468)</f>
        <v>-0.0000391159448499786+0.0000278046111624226i</v>
      </c>
      <c r="AT468" s="190">
        <f t="shared" ref="AT468:AT531" si="309">20*LOG(IMABS(AS468))</f>
        <v>-86.37677108137126</v>
      </c>
      <c r="AU468" s="169">
        <f t="shared" ref="AU468:AU531" si="310">(180/PI())*IMARGUMENT(AS468)</f>
        <v>144.59381447904661</v>
      </c>
      <c r="AV468" s="225"/>
      <c r="AX468">
        <f t="shared" ref="AX468:AX531" si="311">SUM((AT469&lt;0)*(AT468&gt;0))*O468</f>
        <v>0</v>
      </c>
      <c r="AY468">
        <f t="shared" ref="AY468:AY531" si="312">IF(AX468&gt;0,AU468,0)</f>
        <v>0</v>
      </c>
    </row>
    <row r="469" spans="14:51" x14ac:dyDescent="0.2">
      <c r="N469" s="170">
        <v>51</v>
      </c>
      <c r="O469" s="199">
        <f t="shared" si="278"/>
        <v>323593.65692962846</v>
      </c>
      <c r="P469" s="189" t="str">
        <f t="shared" si="279"/>
        <v>771.276595744681</v>
      </c>
      <c r="Q469" s="160" t="str">
        <f t="shared" si="280"/>
        <v>1+2073862.88893109i</v>
      </c>
      <c r="R469" s="160">
        <f t="shared" si="288"/>
        <v>2073862.8889313308</v>
      </c>
      <c r="S469" s="160">
        <f t="shared" si="289"/>
        <v>1.570795844602942</v>
      </c>
      <c r="T469" s="160" t="str">
        <f t="shared" si="281"/>
        <v>1+0.48796773857202i</v>
      </c>
      <c r="U469" s="160">
        <f t="shared" si="290"/>
        <v>1.1127050435255028</v>
      </c>
      <c r="V469" s="160">
        <f t="shared" si="291"/>
        <v>0.45397554932081474</v>
      </c>
      <c r="W469" s="98" t="str">
        <f t="shared" si="282"/>
        <v>1-1.38257525928739i</v>
      </c>
      <c r="X469" s="160">
        <f t="shared" si="292"/>
        <v>1.7063160163327289</v>
      </c>
      <c r="Y469" s="160">
        <f t="shared" si="293"/>
        <v>-0.9446112554979248</v>
      </c>
      <c r="Z469" s="98" t="str">
        <f t="shared" si="283"/>
        <v>-40.885141922036-9.46623314124584i</v>
      </c>
      <c r="AA469" s="160">
        <f t="shared" si="294"/>
        <v>41.966705849630927</v>
      </c>
      <c r="AB469" s="160">
        <f t="shared" si="295"/>
        <v>-2.9140693887067006</v>
      </c>
      <c r="AC469" s="171" t="str">
        <f t="shared" si="296"/>
        <v>0.0000110710816277617+0.0000126698224098045i</v>
      </c>
      <c r="AD469" s="190">
        <f t="shared" si="297"/>
        <v>-95.480704883143218</v>
      </c>
      <c r="AE469" s="169">
        <f t="shared" si="298"/>
        <v>48.852549566356778</v>
      </c>
      <c r="AF469" s="98" t="str">
        <f t="shared" si="284"/>
        <v>-0.0000119284294234592</v>
      </c>
      <c r="AG469" s="98" t="str">
        <f t="shared" si="285"/>
        <v>0.0113903869376174i</v>
      </c>
      <c r="AH469" s="98">
        <f t="shared" si="299"/>
        <v>1.1390386937617399E-2</v>
      </c>
      <c r="AI469" s="98">
        <f t="shared" si="300"/>
        <v>1.5707963267948966</v>
      </c>
      <c r="AJ469" s="98" t="str">
        <f t="shared" si="286"/>
        <v>1+9.83681826355123i</v>
      </c>
      <c r="AK469" s="98">
        <f t="shared" si="301"/>
        <v>9.8875170568821282</v>
      </c>
      <c r="AL469" s="98">
        <f t="shared" si="302"/>
        <v>1.4694854827547739</v>
      </c>
      <c r="AM469" s="98" t="str">
        <f t="shared" si="287"/>
        <v>1+25049.0105800303i</v>
      </c>
      <c r="AN469" s="98">
        <f t="shared" si="303"/>
        <v>25049.010599991168</v>
      </c>
      <c r="AO469" s="98">
        <f t="shared" si="304"/>
        <v>1.5707564050584164</v>
      </c>
      <c r="AP469" s="168" t="str">
        <f t="shared" si="305"/>
        <v>-0.268219464045753+2.63947335910673i</v>
      </c>
      <c r="AQ469" s="98">
        <f t="shared" si="306"/>
        <v>8.4749623721427909</v>
      </c>
      <c r="AR469" s="169">
        <f t="shared" si="307"/>
        <v>95.802396435395991</v>
      </c>
      <c r="AS469" s="168" t="str">
        <f t="shared" si="308"/>
        <v>-0.0000364111382958974+0.0000258235320366603i</v>
      </c>
      <c r="AT469" s="190">
        <f t="shared" si="309"/>
        <v>-87.00574251100042</v>
      </c>
      <c r="AU469" s="169">
        <f t="shared" si="310"/>
        <v>144.65494600175279</v>
      </c>
      <c r="AV469" s="225"/>
      <c r="AX469">
        <f t="shared" si="311"/>
        <v>0</v>
      </c>
      <c r="AY469">
        <f t="shared" si="312"/>
        <v>0</v>
      </c>
    </row>
    <row r="470" spans="14:51" x14ac:dyDescent="0.2">
      <c r="N470" s="170">
        <v>52</v>
      </c>
      <c r="O470" s="199">
        <f t="shared" si="278"/>
        <v>331131.12148259126</v>
      </c>
      <c r="P470" s="189" t="str">
        <f t="shared" si="279"/>
        <v>771.276595744681</v>
      </c>
      <c r="Q470" s="160" t="str">
        <f t="shared" si="280"/>
        <v>1+2122169.36119431i</v>
      </c>
      <c r="R470" s="160">
        <f t="shared" si="288"/>
        <v>2122169.3611945454</v>
      </c>
      <c r="S470" s="160">
        <f t="shared" si="289"/>
        <v>1.5707958555789709</v>
      </c>
      <c r="T470" s="160" t="str">
        <f t="shared" si="281"/>
        <v>1+0.499333967339836i</v>
      </c>
      <c r="U470" s="160">
        <f t="shared" si="290"/>
        <v>1.1177362886384876</v>
      </c>
      <c r="V470" s="160">
        <f t="shared" si="291"/>
        <v>0.46311464093346966</v>
      </c>
      <c r="W470" s="98" t="str">
        <f t="shared" si="282"/>
        <v>1-1.41477957412954i</v>
      </c>
      <c r="X470" s="160">
        <f t="shared" si="292"/>
        <v>1.7325129850521068</v>
      </c>
      <c r="Y470" s="160">
        <f t="shared" si="293"/>
        <v>-0.95550523838000245</v>
      </c>
      <c r="Z470" s="98" t="str">
        <f t="shared" si="283"/>
        <v>-42.8591278457277-9.68673003673273i</v>
      </c>
      <c r="AA470" s="160">
        <f t="shared" si="294"/>
        <v>43.940159063218829</v>
      </c>
      <c r="AB470" s="160">
        <f t="shared" si="295"/>
        <v>-2.9193140112582148</v>
      </c>
      <c r="AC470" s="171" t="str">
        <f t="shared" si="296"/>
        <v>0.0000104970939894622+0.0000120978941289131i</v>
      </c>
      <c r="AD470" s="190">
        <f t="shared" si="297"/>
        <v>-95.908313250669863</v>
      </c>
      <c r="AE470" s="169">
        <f t="shared" si="298"/>
        <v>49.052495811574964</v>
      </c>
      <c r="AF470" s="98" t="str">
        <f t="shared" si="284"/>
        <v>-0.0000119284294234592</v>
      </c>
      <c r="AG470" s="98" t="str">
        <f t="shared" si="285"/>
        <v>0.0116557031326301i</v>
      </c>
      <c r="AH470" s="98">
        <f t="shared" si="299"/>
        <v>1.16557031326301E-2</v>
      </c>
      <c r="AI470" s="98">
        <f t="shared" si="300"/>
        <v>1.5707963267948966</v>
      </c>
      <c r="AJ470" s="98" t="str">
        <f t="shared" si="286"/>
        <v>1+10.0659471954313i</v>
      </c>
      <c r="AK470" s="98">
        <f t="shared" si="301"/>
        <v>10.115497661569163</v>
      </c>
      <c r="AL470" s="98">
        <f t="shared" si="302"/>
        <v>1.4717763810588738</v>
      </c>
      <c r="AM470" s="98" t="str">
        <f t="shared" si="287"/>
        <v>1+25632.4769901116i</v>
      </c>
      <c r="AN470" s="98">
        <f t="shared" si="303"/>
        <v>25632.477009618102</v>
      </c>
      <c r="AO470" s="98">
        <f t="shared" si="304"/>
        <v>1.5707573137880819</v>
      </c>
      <c r="AP470" s="168" t="str">
        <f t="shared" si="305"/>
        <v>-0.256265577267839+2.58057916731233i</v>
      </c>
      <c r="AQ470" s="98">
        <f t="shared" si="306"/>
        <v>8.2769622054634446</v>
      </c>
      <c r="AR470" s="169">
        <f t="shared" si="307"/>
        <v>95.67118969765194</v>
      </c>
      <c r="AS470" s="168" t="str">
        <f t="shared" si="308"/>
        <v>-0.0000339096174082676+0.0000239883082438545i</v>
      </c>
      <c r="AT470" s="190">
        <f t="shared" si="309"/>
        <v>-87.631351045206415</v>
      </c>
      <c r="AU470" s="169">
        <f t="shared" si="310"/>
        <v>144.72368550922693</v>
      </c>
      <c r="AV470" s="225"/>
      <c r="AX470">
        <f t="shared" si="311"/>
        <v>0</v>
      </c>
      <c r="AY470">
        <f t="shared" si="312"/>
        <v>0</v>
      </c>
    </row>
    <row r="471" spans="14:51" x14ac:dyDescent="0.2">
      <c r="N471" s="170">
        <v>53</v>
      </c>
      <c r="O471" s="199">
        <f t="shared" si="278"/>
        <v>338844.15613920329</v>
      </c>
      <c r="P471" s="189" t="str">
        <f t="shared" si="279"/>
        <v>771.276595744681</v>
      </c>
      <c r="Q471" s="160" t="str">
        <f t="shared" si="280"/>
        <v>1+2171601.03574306i</v>
      </c>
      <c r="R471" s="160">
        <f t="shared" si="288"/>
        <v>2171601.0357432901</v>
      </c>
      <c r="S471" s="160">
        <f t="shared" si="289"/>
        <v>1.5707958663051549</v>
      </c>
      <c r="T471" s="160" t="str">
        <f t="shared" si="281"/>
        <v>1+0.510964949586602i</v>
      </c>
      <c r="U471" s="160">
        <f t="shared" si="290"/>
        <v>1.1229804894592064</v>
      </c>
      <c r="V471" s="160">
        <f t="shared" si="291"/>
        <v>0.47238104099161254</v>
      </c>
      <c r="W471" s="98" t="str">
        <f t="shared" si="282"/>
        <v>1-1.4477340238287i</v>
      </c>
      <c r="X471" s="160">
        <f t="shared" si="292"/>
        <v>1.7595265851220432</v>
      </c>
      <c r="Y471" s="160">
        <f t="shared" si="293"/>
        <v>-0.96631584817066485</v>
      </c>
      <c r="Z471" s="98" t="str">
        <f t="shared" si="283"/>
        <v>-44.9261448598757-9.91236296470411i</v>
      </c>
      <c r="AA471" s="160">
        <f t="shared" si="294"/>
        <v>46.00666725067763</v>
      </c>
      <c r="AB471" s="160">
        <f t="shared" si="295"/>
        <v>-2.9244349829529201</v>
      </c>
      <c r="AC471" s="171" t="str">
        <f t="shared" si="296"/>
        <v>9.95555315280341E-06+0.0000115570179320372i</v>
      </c>
      <c r="AD471" s="190">
        <f t="shared" si="297"/>
        <v>-96.332452339733337</v>
      </c>
      <c r="AE471" s="169">
        <f t="shared" si="298"/>
        <v>49.257428561765984</v>
      </c>
      <c r="AF471" s="98" t="str">
        <f t="shared" si="284"/>
        <v>-0.0000119284294234592</v>
      </c>
      <c r="AG471" s="98" t="str">
        <f t="shared" si="285"/>
        <v>0.0119271993357253i</v>
      </c>
      <c r="AH471" s="98">
        <f t="shared" si="299"/>
        <v>1.1927199335725299E-2</v>
      </c>
      <c r="AI471" s="98">
        <f t="shared" si="300"/>
        <v>1.5707963267948966</v>
      </c>
      <c r="AJ471" s="98" t="str">
        <f t="shared" si="286"/>
        <v>1+10.300413225753i</v>
      </c>
      <c r="AK471" s="98">
        <f t="shared" si="301"/>
        <v>10.348841124554349</v>
      </c>
      <c r="AL471" s="98">
        <f t="shared" si="302"/>
        <v>1.4740161402113767</v>
      </c>
      <c r="AM471" s="98" t="str">
        <f t="shared" si="287"/>
        <v>1+26229.5340787789i</v>
      </c>
      <c r="AN471" s="98">
        <f t="shared" si="303"/>
        <v>26229.534097841381</v>
      </c>
      <c r="AO471" s="98">
        <f t="shared" si="304"/>
        <v>1.570758201832535</v>
      </c>
      <c r="AP471" s="168" t="str">
        <f t="shared" si="305"/>
        <v>-0.24483942019115+2.5229473050556i</v>
      </c>
      <c r="AQ471" s="98">
        <f t="shared" si="306"/>
        <v>8.0788728914858243</v>
      </c>
      <c r="AR471" s="169">
        <f t="shared" si="307"/>
        <v>95.542911832286919</v>
      </c>
      <c r="AS471" s="168" t="str">
        <f t="shared" si="308"/>
        <v>-0.0000315952591077271+0.0000222877224275844i</v>
      </c>
      <c r="AT471" s="190">
        <f t="shared" si="309"/>
        <v>-88.253579448247521</v>
      </c>
      <c r="AU471" s="169">
        <f t="shared" si="310"/>
        <v>144.80034039405299</v>
      </c>
      <c r="AV471" s="225"/>
      <c r="AX471">
        <f t="shared" si="311"/>
        <v>0</v>
      </c>
      <c r="AY471">
        <f t="shared" si="312"/>
        <v>0</v>
      </c>
    </row>
    <row r="472" spans="14:51" x14ac:dyDescent="0.2">
      <c r="N472" s="170">
        <v>54</v>
      </c>
      <c r="O472" s="199">
        <f t="shared" si="278"/>
        <v>346736.85045253241</v>
      </c>
      <c r="P472" s="189" t="str">
        <f t="shared" si="279"/>
        <v>771.276595744681</v>
      </c>
      <c r="Q472" s="160" t="str">
        <f t="shared" si="280"/>
        <v>1+2222184.1219055i</v>
      </c>
      <c r="R472" s="160">
        <f t="shared" si="288"/>
        <v>2222184.121905725</v>
      </c>
      <c r="S472" s="160">
        <f t="shared" si="289"/>
        <v>1.5707958767871812</v>
      </c>
      <c r="T472" s="160" t="str">
        <f t="shared" si="281"/>
        <v>1+0.522866852213059i</v>
      </c>
      <c r="U472" s="160">
        <f t="shared" si="290"/>
        <v>1.1284457209556837</v>
      </c>
      <c r="V472" s="160">
        <f t="shared" si="291"/>
        <v>0.48177329637808836</v>
      </c>
      <c r="W472" s="98" t="str">
        <f t="shared" si="282"/>
        <v>1-1.48145608127033i</v>
      </c>
      <c r="X472" s="160">
        <f t="shared" si="292"/>
        <v>1.7873757637197731</v>
      </c>
      <c r="Y472" s="160">
        <f t="shared" si="293"/>
        <v>-0.97703870947354921</v>
      </c>
      <c r="Z472" s="98" t="str">
        <f t="shared" si="283"/>
        <v>-47.090577384697-10.143251558725i</v>
      </c>
      <c r="AA472" s="160">
        <f t="shared" si="294"/>
        <v>48.170613766151185</v>
      </c>
      <c r="AB472" s="160">
        <f t="shared" si="295"/>
        <v>-2.9294353915699789</v>
      </c>
      <c r="AC472" s="171" t="str">
        <f t="shared" si="296"/>
        <v>9.44442348446103E-06+0.0000110453812929878i</v>
      </c>
      <c r="AD472" s="190">
        <f t="shared" si="297"/>
        <v>-96.753110565738126</v>
      </c>
      <c r="AE472" s="169">
        <f t="shared" si="298"/>
        <v>49.467692167583074</v>
      </c>
      <c r="AF472" s="98" t="str">
        <f t="shared" si="284"/>
        <v>-0.0000119284294234592</v>
      </c>
      <c r="AG472" s="98" t="str">
        <f t="shared" si="285"/>
        <v>0.0122050194977833i</v>
      </c>
      <c r="AH472" s="98">
        <f t="shared" si="299"/>
        <v>1.22050194977833E-2</v>
      </c>
      <c r="AI472" s="98">
        <f t="shared" si="300"/>
        <v>1.5707963267948966</v>
      </c>
      <c r="AJ472" s="98" t="str">
        <f t="shared" si="286"/>
        <v>1+10.5403406715091i</v>
      </c>
      <c r="AK472" s="98">
        <f t="shared" si="301"/>
        <v>10.587671201518722</v>
      </c>
      <c r="AL472" s="98">
        <f t="shared" si="302"/>
        <v>1.4762058578264567</v>
      </c>
      <c r="AM472" s="98" t="str">
        <f t="shared" si="287"/>
        <v>1+26840.4984136037i</v>
      </c>
      <c r="AN472" s="98">
        <f t="shared" si="303"/>
        <v>26840.49843223226</v>
      </c>
      <c r="AO472" s="98">
        <f t="shared" si="304"/>
        <v>1.5707590696626286</v>
      </c>
      <c r="AP472" s="168" t="str">
        <f t="shared" si="305"/>
        <v>-0.233918133536533+2.46655415472497i</v>
      </c>
      <c r="AQ472" s="98">
        <f t="shared" si="306"/>
        <v>7.8806983675172404</v>
      </c>
      <c r="AR472" s="169">
        <f t="shared" si="307"/>
        <v>95.417499977619059</v>
      </c>
      <c r="AS472" s="168" t="str">
        <f t="shared" si="308"/>
        <v>-0.0000294532530325542+0.0000207114670083244i</v>
      </c>
      <c r="AT472" s="190">
        <f t="shared" si="309"/>
        <v>-88.872412198220886</v>
      </c>
      <c r="AU472" s="169">
        <f t="shared" si="310"/>
        <v>144.88519214520207</v>
      </c>
      <c r="AV472" s="225"/>
      <c r="AX472">
        <f t="shared" si="311"/>
        <v>0</v>
      </c>
      <c r="AY472">
        <f t="shared" si="312"/>
        <v>0</v>
      </c>
    </row>
    <row r="473" spans="14:51" x14ac:dyDescent="0.2">
      <c r="N473" s="170">
        <v>55</v>
      </c>
      <c r="O473" s="199">
        <f t="shared" si="278"/>
        <v>354813.38923357555</v>
      </c>
      <c r="P473" s="189" t="str">
        <f t="shared" si="279"/>
        <v>771.276595744681</v>
      </c>
      <c r="Q473" s="160" t="str">
        <f t="shared" si="280"/>
        <v>1+2273945.43950345i</v>
      </c>
      <c r="R473" s="160">
        <f t="shared" si="288"/>
        <v>2273945.4395036697</v>
      </c>
      <c r="S473" s="160">
        <f t="shared" si="289"/>
        <v>1.5707958870306074</v>
      </c>
      <c r="T473" s="160" t="str">
        <f t="shared" si="281"/>
        <v>1+0.535045985765517i</v>
      </c>
      <c r="U473" s="160">
        <f t="shared" si="290"/>
        <v>1.1341402941804835</v>
      </c>
      <c r="V473" s="160">
        <f t="shared" si="291"/>
        <v>0.49128975784587903</v>
      </c>
      <c r="W473" s="98" t="str">
        <f t="shared" si="282"/>
        <v>1-1.51596362633563i</v>
      </c>
      <c r="X473" s="160">
        <f t="shared" si="292"/>
        <v>1.8160797659719334</v>
      </c>
      <c r="Y473" s="160">
        <f t="shared" si="293"/>
        <v>-0.98766964440140992</v>
      </c>
      <c r="Z473" s="98" t="str">
        <f t="shared" si="283"/>
        <v>-49.3570164717666-10.3795182389841i</v>
      </c>
      <c r="AA473" s="160">
        <f t="shared" si="294"/>
        <v>50.436588642251003</v>
      </c>
      <c r="AB473" s="160">
        <f t="shared" si="295"/>
        <v>-2.9343182376676045</v>
      </c>
      <c r="AC473" s="171" t="str">
        <f t="shared" si="296"/>
        <v>8.96181067709229E-06+0.0000105612759398281i</v>
      </c>
      <c r="AD473" s="190">
        <f t="shared" si="297"/>
        <v>-97.170277832812957</v>
      </c>
      <c r="AE473" s="169">
        <f t="shared" si="298"/>
        <v>49.683603428442638</v>
      </c>
      <c r="AF473" s="98" t="str">
        <f t="shared" si="284"/>
        <v>-0.0000119284294234592</v>
      </c>
      <c r="AG473" s="98" t="str">
        <f t="shared" si="285"/>
        <v>0.0124893109227316i</v>
      </c>
      <c r="AH473" s="98">
        <f t="shared" si="299"/>
        <v>1.2489310922731599E-2</v>
      </c>
      <c r="AI473" s="98">
        <f t="shared" si="300"/>
        <v>1.5707963267948966</v>
      </c>
      <c r="AJ473" s="98" t="str">
        <f t="shared" si="286"/>
        <v>1+10.785856745407i</v>
      </c>
      <c r="AK473" s="98">
        <f t="shared" si="301"/>
        <v>10.832114554990714</v>
      </c>
      <c r="AL473" s="98">
        <f t="shared" si="302"/>
        <v>1.4783466108799646</v>
      </c>
      <c r="AM473" s="98" t="str">
        <f t="shared" si="287"/>
        <v>1+27465.6939359632i</v>
      </c>
      <c r="AN473" s="98">
        <f t="shared" si="303"/>
        <v>27465.693954167727</v>
      </c>
      <c r="AO473" s="98">
        <f t="shared" si="304"/>
        <v>1.5707599177384974</v>
      </c>
      <c r="AP473" s="168" t="str">
        <f t="shared" si="305"/>
        <v>-0.22347980991506+2.41137630631188i</v>
      </c>
      <c r="AQ473" s="98">
        <f t="shared" si="306"/>
        <v>7.6824424001660061</v>
      </c>
      <c r="AR473" s="169">
        <f t="shared" si="307"/>
        <v>95.294892453841328</v>
      </c>
      <c r="AS473" s="168" t="str">
        <f t="shared" si="308"/>
        <v>-0.0000274699943123346+0.0000192500659888999i</v>
      </c>
      <c r="AT473" s="190">
        <f t="shared" si="309"/>
        <v>-89.487835432646946</v>
      </c>
      <c r="AU473" s="169">
        <f t="shared" si="310"/>
        <v>144.97849588228399</v>
      </c>
      <c r="AV473" s="225"/>
      <c r="AX473">
        <f t="shared" si="311"/>
        <v>0</v>
      </c>
      <c r="AY473">
        <f t="shared" si="312"/>
        <v>0</v>
      </c>
    </row>
    <row r="474" spans="14:51" x14ac:dyDescent="0.2">
      <c r="N474" s="170">
        <v>56</v>
      </c>
      <c r="O474" s="199">
        <f t="shared" si="278"/>
        <v>363078.05477010203</v>
      </c>
      <c r="P474" s="189" t="str">
        <f t="shared" si="279"/>
        <v>771.276595744681</v>
      </c>
      <c r="Q474" s="160" t="str">
        <f t="shared" si="280"/>
        <v>1+2326912.43307267i</v>
      </c>
      <c r="R474" s="160">
        <f t="shared" si="288"/>
        <v>2326912.433072885</v>
      </c>
      <c r="S474" s="160">
        <f t="shared" si="289"/>
        <v>1.5707958970408646</v>
      </c>
      <c r="T474" s="160" t="str">
        <f t="shared" si="281"/>
        <v>1+0.547508807781804i</v>
      </c>
      <c r="U474" s="160">
        <f t="shared" si="290"/>
        <v>1.1400727584670429</v>
      </c>
      <c r="V474" s="160">
        <f t="shared" si="291"/>
        <v>0.50092857559376824</v>
      </c>
      <c r="W474" s="98" t="str">
        <f t="shared" si="282"/>
        <v>1-1.55127495538178i</v>
      </c>
      <c r="X474" s="160">
        <f t="shared" si="292"/>
        <v>1.8456581447263585</v>
      </c>
      <c r="Y474" s="160">
        <f t="shared" si="293"/>
        <v>-0.99820467773562371</v>
      </c>
      <c r="Z474" s="98" t="str">
        <f t="shared" si="283"/>
        <v>-51.7302695422566-10.6212882772027i</v>
      </c>
      <c r="AA474" s="160">
        <f t="shared" si="294"/>
        <v>52.809398326263519</v>
      </c>
      <c r="AB474" s="160">
        <f t="shared" si="295"/>
        <v>-2.9390864375554764</v>
      </c>
      <c r="AC474" s="171" t="str">
        <f t="shared" si="296"/>
        <v>8.50595114260409E-06+0.0000101030924728327i</v>
      </c>
      <c r="AD474" s="190">
        <f t="shared" si="297"/>
        <v>-97.583945491177687</v>
      </c>
      <c r="AE474" s="169">
        <f t="shared" si="298"/>
        <v>49.905451213716873</v>
      </c>
      <c r="AF474" s="98" t="str">
        <f t="shared" si="284"/>
        <v>-0.0000119284294234592</v>
      </c>
      <c r="AG474" s="98" t="str">
        <f t="shared" si="285"/>
        <v>0.0127802243456468i</v>
      </c>
      <c r="AH474" s="98">
        <f t="shared" si="299"/>
        <v>1.2780224345646801E-2</v>
      </c>
      <c r="AI474" s="98">
        <f t="shared" si="300"/>
        <v>1.5707963267948966</v>
      </c>
      <c r="AJ474" s="98" t="str">
        <f t="shared" si="286"/>
        <v>1+11.0370916233191i</v>
      </c>
      <c r="AK474" s="98">
        <f t="shared" si="301"/>
        <v>11.082300821649836</v>
      </c>
      <c r="AL474" s="98">
        <f t="shared" si="302"/>
        <v>1.4804394558986675</v>
      </c>
      <c r="AM474" s="98" t="str">
        <f t="shared" si="287"/>
        <v>1+28105.4521327993i</v>
      </c>
      <c r="AN474" s="98">
        <f t="shared" si="303"/>
        <v>28105.452150589441</v>
      </c>
      <c r="AO474" s="98">
        <f t="shared" si="304"/>
        <v>1.5707607465098028</v>
      </c>
      <c r="AP474" s="168" t="str">
        <f t="shared" si="305"/>
        <v>-0.213503457555494+2.35739057348551i</v>
      </c>
      <c r="AQ474" s="98">
        <f t="shared" si="306"/>
        <v>7.4841085924630288</v>
      </c>
      <c r="AR474" s="169">
        <f t="shared" si="307"/>
        <v>95.175028752192631</v>
      </c>
      <c r="AS474" s="168" t="str">
        <f t="shared" si="308"/>
        <v>-0.0000256329849372523+0.0000178948038671505i</v>
      </c>
      <c r="AT474" s="190">
        <f t="shared" si="309"/>
        <v>-90.09983689871467</v>
      </c>
      <c r="AU474" s="169">
        <f t="shared" si="310"/>
        <v>145.08047996590955</v>
      </c>
      <c r="AV474" s="225"/>
      <c r="AX474">
        <f t="shared" si="311"/>
        <v>0</v>
      </c>
      <c r="AY474">
        <f t="shared" si="312"/>
        <v>0</v>
      </c>
    </row>
    <row r="475" spans="14:51" x14ac:dyDescent="0.2">
      <c r="N475" s="170">
        <v>57</v>
      </c>
      <c r="O475" s="199">
        <f t="shared" si="278"/>
        <v>371535.2290971732</v>
      </c>
      <c r="P475" s="189" t="str">
        <f t="shared" si="279"/>
        <v>771.276595744681</v>
      </c>
      <c r="Q475" s="160" t="str">
        <f t="shared" si="280"/>
        <v>1+2381113.18641422i</v>
      </c>
      <c r="R475" s="160">
        <f t="shared" si="288"/>
        <v>2381113.1864144299</v>
      </c>
      <c r="S475" s="160">
        <f t="shared" si="289"/>
        <v>1.5707959068232609</v>
      </c>
      <c r="T475" s="160" t="str">
        <f t="shared" si="281"/>
        <v>1+0.56026192621511i</v>
      </c>
      <c r="U475" s="160">
        <f t="shared" si="290"/>
        <v>1.1462519033642933</v>
      </c>
      <c r="V475" s="160">
        <f t="shared" si="291"/>
        <v>0.51068769536973291</v>
      </c>
      <c r="W475" s="98" t="str">
        <f t="shared" si="282"/>
        <v>1-1.58740879094281i</v>
      </c>
      <c r="X475" s="160">
        <f t="shared" si="292"/>
        <v>1.8761307709119091</v>
      </c>
      <c r="Y475" s="160">
        <f t="shared" si="293"/>
        <v>-1.0086400411009615</v>
      </c>
      <c r="Z475" s="98" t="str">
        <f t="shared" si="283"/>
        <v>-54.2153705841157-10.8686898630553i</v>
      </c>
      <c r="AA475" s="160">
        <f t="shared" si="294"/>
        <v>55.294075875379995</v>
      </c>
      <c r="AB475" s="160">
        <f t="shared" si="295"/>
        <v>-2.9437428261494896</v>
      </c>
      <c r="AC475" s="171" t="str">
        <f t="shared" si="296"/>
        <v>8.07520223826443E-06+9.66931517296355E-06i</v>
      </c>
      <c r="AD475" s="190">
        <f t="shared" si="297"/>
        <v>-97.994106299342519</v>
      </c>
      <c r="AE475" s="169">
        <f t="shared" si="298"/>
        <v>50.133496163842644</v>
      </c>
      <c r="AF475" s="98" t="str">
        <f t="shared" si="284"/>
        <v>-0.0000119284294234592</v>
      </c>
      <c r="AG475" s="98" t="str">
        <f t="shared" si="285"/>
        <v>0.0130779140126762i</v>
      </c>
      <c r="AH475" s="98">
        <f t="shared" si="299"/>
        <v>1.30779140126762E-2</v>
      </c>
      <c r="AI475" s="98">
        <f t="shared" si="300"/>
        <v>1.5707963267948966</v>
      </c>
      <c r="AJ475" s="98" t="str">
        <f t="shared" si="286"/>
        <v>1+11.2941785133031i</v>
      </c>
      <c r="AK475" s="98">
        <f t="shared" si="301"/>
        <v>11.33836268119685</v>
      </c>
      <c r="AL475" s="98">
        <f t="shared" si="302"/>
        <v>1.4824854291628797</v>
      </c>
      <c r="AM475" s="98" t="str">
        <f t="shared" si="287"/>
        <v>1+28760.1122123757i</v>
      </c>
      <c r="AN475" s="98">
        <f t="shared" si="303"/>
        <v>28760.112229760889</v>
      </c>
      <c r="AO475" s="98">
        <f t="shared" si="304"/>
        <v>1.57076155641597</v>
      </c>
      <c r="AP475" s="168" t="str">
        <f t="shared" si="305"/>
        <v>-0.203968965111671+2.30457400804266i</v>
      </c>
      <c r="AQ475" s="98">
        <f t="shared" si="306"/>
        <v>7.2857003907102289</v>
      </c>
      <c r="AR475" s="169">
        <f t="shared" si="307"/>
        <v>95.057849523361853</v>
      </c>
      <c r="AS475" s="168" t="str">
        <f t="shared" si="308"/>
        <v>-0.0000239307430667906+0.0000166376609788242i</v>
      </c>
      <c r="AT475" s="190">
        <f t="shared" si="309"/>
        <v>-90.708405908632272</v>
      </c>
      <c r="AU475" s="169">
        <f t="shared" si="310"/>
        <v>145.19134568720449</v>
      </c>
      <c r="AV475" s="225"/>
      <c r="AX475">
        <f t="shared" si="311"/>
        <v>0</v>
      </c>
      <c r="AY475">
        <f t="shared" si="312"/>
        <v>0</v>
      </c>
    </row>
    <row r="476" spans="14:51" x14ac:dyDescent="0.2">
      <c r="N476" s="170">
        <v>58</v>
      </c>
      <c r="O476" s="199">
        <f t="shared" si="278"/>
        <v>380189.39632056188</v>
      </c>
      <c r="P476" s="189" t="str">
        <f t="shared" si="279"/>
        <v>771.276595744681</v>
      </c>
      <c r="Q476" s="160" t="str">
        <f t="shared" si="280"/>
        <v>1+2436576.43748497i</v>
      </c>
      <c r="R476" s="160">
        <f t="shared" si="288"/>
        <v>2436576.4374851747</v>
      </c>
      <c r="S476" s="160">
        <f t="shared" si="289"/>
        <v>1.5707959163829823</v>
      </c>
      <c r="T476" s="160" t="str">
        <f t="shared" si="281"/>
        <v>1+0.573312102937639i</v>
      </c>
      <c r="U476" s="160">
        <f t="shared" si="290"/>
        <v>1.1526867603016779</v>
      </c>
      <c r="V476" s="160">
        <f t="shared" si="291"/>
        <v>0.5205648551574642</v>
      </c>
      <c r="W476" s="98" t="str">
        <f t="shared" si="282"/>
        <v>1-1.62438429165664i</v>
      </c>
      <c r="X476" s="160">
        <f t="shared" si="292"/>
        <v>1.9075178444724559</v>
      </c>
      <c r="Y476" s="160">
        <f t="shared" si="293"/>
        <v>-1.018972176171703</v>
      </c>
      <c r="Z476" s="98" t="str">
        <f t="shared" si="283"/>
        <v>-56.8175908298374-11.1218541721373i</v>
      </c>
      <c r="AA476" s="160">
        <f t="shared" si="294"/>
        <v>57.89589163259437</v>
      </c>
      <c r="AB476" s="160">
        <f t="shared" si="295"/>
        <v>-2.948290159713149</v>
      </c>
      <c r="AC476" s="171" t="str">
        <f t="shared" si="296"/>
        <v>7.66803325950973E-06+9.25851700678553E-06i</v>
      </c>
      <c r="AD476" s="190">
        <f t="shared" si="297"/>
        <v>-98.400754391522426</v>
      </c>
      <c r="AE476" s="169">
        <f t="shared" si="298"/>
        <v>50.367970473847478</v>
      </c>
      <c r="AF476" s="98" t="str">
        <f t="shared" si="284"/>
        <v>-0.0000119284294234592</v>
      </c>
      <c r="AG476" s="98" t="str">
        <f t="shared" si="285"/>
        <v>0.0133825377628218i</v>
      </c>
      <c r="AH476" s="98">
        <f t="shared" si="299"/>
        <v>1.33825377628218E-2</v>
      </c>
      <c r="AI476" s="98">
        <f t="shared" si="300"/>
        <v>1.5707963267948966</v>
      </c>
      <c r="AJ476" s="98" t="str">
        <f t="shared" si="286"/>
        <v>1+11.5572537262309i</v>
      </c>
      <c r="AK476" s="98">
        <f t="shared" si="301"/>
        <v>11.600435926829562</v>
      </c>
      <c r="AL476" s="98">
        <f t="shared" si="302"/>
        <v>1.4844855469211187</v>
      </c>
      <c r="AM476" s="98" t="str">
        <f t="shared" si="287"/>
        <v>1+29430.0212841321i</v>
      </c>
      <c r="AN476" s="98">
        <f t="shared" si="303"/>
        <v>29430.021301121556</v>
      </c>
      <c r="AO476" s="98">
        <f t="shared" si="304"/>
        <v>1.5707623478864221</v>
      </c>
      <c r="AP476" s="168" t="str">
        <f t="shared" si="305"/>
        <v>-0.194857067546577+2.2529039128406i</v>
      </c>
      <c r="AQ476" s="98">
        <f t="shared" si="306"/>
        <v>7.0872210910652642</v>
      </c>
      <c r="AR476" s="169">
        <f t="shared" si="307"/>
        <v>94.943296565202132</v>
      </c>
      <c r="AS476" s="168" t="str">
        <f t="shared" si="308"/>
        <v>-0.000022352719666486+0.000015471254660369i</v>
      </c>
      <c r="AT476" s="190">
        <f t="shared" si="309"/>
        <v>-91.313533300457181</v>
      </c>
      <c r="AU476" s="169">
        <f t="shared" si="310"/>
        <v>145.31126703904954</v>
      </c>
      <c r="AV476" s="225"/>
      <c r="AX476">
        <f t="shared" si="311"/>
        <v>0</v>
      </c>
      <c r="AY476">
        <f t="shared" si="312"/>
        <v>0</v>
      </c>
    </row>
    <row r="477" spans="14:51" x14ac:dyDescent="0.2">
      <c r="N477" s="170">
        <v>59</v>
      </c>
      <c r="O477" s="199">
        <f t="shared" si="278"/>
        <v>389045.14499428123</v>
      </c>
      <c r="P477" s="189" t="str">
        <f t="shared" si="279"/>
        <v>771.276595744681</v>
      </c>
      <c r="Q477" s="160" t="str">
        <f t="shared" si="280"/>
        <v>1+2493331.59363477i</v>
      </c>
      <c r="R477" s="160">
        <f t="shared" si="288"/>
        <v>2493331.59363497</v>
      </c>
      <c r="S477" s="160">
        <f t="shared" si="289"/>
        <v>1.5707959257250981</v>
      </c>
      <c r="T477" s="160" t="str">
        <f t="shared" si="281"/>
        <v>1+0.586666257325828i</v>
      </c>
      <c r="U477" s="160">
        <f t="shared" si="290"/>
        <v>1.1593866039784548</v>
      </c>
      <c r="V477" s="160">
        <f t="shared" si="291"/>
        <v>0.53055758250059837</v>
      </c>
      <c r="W477" s="98" t="str">
        <f t="shared" si="282"/>
        <v>1-1.66222106242318i</v>
      </c>
      <c r="X477" s="160">
        <f t="shared" si="292"/>
        <v>1.9398399058590492</v>
      </c>
      <c r="Y477" s="160">
        <f t="shared" si="293"/>
        <v>-1.0291977369320988</v>
      </c>
      <c r="Z477" s="98" t="str">
        <f t="shared" si="283"/>
        <v>-59.5424499374486-11.3809154355166i</v>
      </c>
      <c r="AA477" s="160">
        <f t="shared" si="294"/>
        <v>60.620364405898719</v>
      </c>
      <c r="AB477" s="160">
        <f t="shared" si="295"/>
        <v>-2.9527311184897642</v>
      </c>
      <c r="AC477" s="171" t="str">
        <f t="shared" si="296"/>
        <v>7.28301713842154E-06+8.86935483127581E-06i</v>
      </c>
      <c r="AD477" s="190">
        <f t="shared" si="297"/>
        <v>-98.803885250570858</v>
      </c>
      <c r="AE477" s="169">
        <f t="shared" si="298"/>
        <v>50.609077761336657</v>
      </c>
      <c r="AF477" s="98" t="str">
        <f t="shared" si="284"/>
        <v>-0.0000119284294234592</v>
      </c>
      <c r="AG477" s="98" t="str">
        <f t="shared" si="285"/>
        <v>0.0136942571116282i</v>
      </c>
      <c r="AH477" s="98">
        <f t="shared" si="299"/>
        <v>1.3694257111628199E-2</v>
      </c>
      <c r="AI477" s="98">
        <f t="shared" si="300"/>
        <v>1.5707963267948966</v>
      </c>
      <c r="AJ477" s="98" t="str">
        <f t="shared" si="286"/>
        <v>1+11.8264567480627i</v>
      </c>
      <c r="AK477" s="98">
        <f t="shared" si="301"/>
        <v>11.868659537361317</v>
      </c>
      <c r="AL477" s="98">
        <f t="shared" si="302"/>
        <v>1.4864408056154965</v>
      </c>
      <c r="AM477" s="98" t="str">
        <f t="shared" si="287"/>
        <v>1+30115.5345427259i</v>
      </c>
      <c r="AN477" s="98">
        <f t="shared" si="303"/>
        <v>30115.534559328626</v>
      </c>
      <c r="AO477" s="98">
        <f t="shared" si="304"/>
        <v>1.5707631213408073</v>
      </c>
      <c r="AP477" s="168" t="str">
        <f t="shared" si="305"/>
        <v>-0.186149313086513+2.20235785331425i</v>
      </c>
      <c r="AQ477" s="98">
        <f t="shared" si="306"/>
        <v>6.88867384586956</v>
      </c>
      <c r="AR477" s="169">
        <f t="shared" si="307"/>
        <v>94.831312809829953</v>
      </c>
      <c r="AS477" s="168" t="str">
        <f t="shared" si="308"/>
        <v>-0.0000208892219040054+0.0000143887856812624i</v>
      </c>
      <c r="AT477" s="190">
        <f t="shared" si="309"/>
        <v>-91.91521140470131</v>
      </c>
      <c r="AU477" s="169">
        <f t="shared" si="310"/>
        <v>145.44039057116657</v>
      </c>
      <c r="AV477" s="225"/>
      <c r="AX477">
        <f t="shared" si="311"/>
        <v>0</v>
      </c>
      <c r="AY477">
        <f t="shared" si="312"/>
        <v>0</v>
      </c>
    </row>
    <row r="478" spans="14:51" x14ac:dyDescent="0.2">
      <c r="N478" s="170">
        <v>60</v>
      </c>
      <c r="O478" s="199">
        <f t="shared" si="278"/>
        <v>398107.17055349716</v>
      </c>
      <c r="P478" s="189" t="str">
        <f t="shared" si="279"/>
        <v>771.276595744681</v>
      </c>
      <c r="Q478" s="160" t="str">
        <f t="shared" si="280"/>
        <v>1+2551408.74719866i</v>
      </c>
      <c r="R478" s="160">
        <f t="shared" si="288"/>
        <v>2551408.747198856</v>
      </c>
      <c r="S478" s="160">
        <f t="shared" si="289"/>
        <v>1.5707959348545613</v>
      </c>
      <c r="T478" s="160" t="str">
        <f t="shared" si="281"/>
        <v>1+0.600331469929096i</v>
      </c>
      <c r="U478" s="160">
        <f t="shared" si="290"/>
        <v>1.1663609534733359</v>
      </c>
      <c r="V478" s="160">
        <f t="shared" si="291"/>
        <v>0.54066319251804251</v>
      </c>
      <c r="W478" s="98" t="str">
        <f t="shared" si="282"/>
        <v>1-1.70093916479911i</v>
      </c>
      <c r="X478" s="160">
        <f t="shared" si="292"/>
        <v>1.9731178480636917</v>
      </c>
      <c r="Y478" s="160">
        <f t="shared" si="293"/>
        <v>-1.0393135910208768</v>
      </c>
      <c r="Z478" s="98" t="str">
        <f t="shared" si="283"/>
        <v>-62.3957276984446-11.646011010904i</v>
      </c>
      <c r="AA478" s="160">
        <f t="shared" si="294"/>
        <v>63.473273174498757</v>
      </c>
      <c r="AB478" s="160">
        <f t="shared" si="295"/>
        <v>-2.9570683092297276</v>
      </c>
      <c r="AC478" s="171" t="str">
        <f t="shared" si="296"/>
        <v>6.91882279159481E-06+8.50056479990343E-06i</v>
      </c>
      <c r="AD478" s="190">
        <f t="shared" si="297"/>
        <v>-99.203495686655444</v>
      </c>
      <c r="AE478" s="169">
        <f t="shared" si="298"/>
        <v>50.856993020547606</v>
      </c>
      <c r="AF478" s="98" t="str">
        <f t="shared" si="284"/>
        <v>-0.0000119284294234592</v>
      </c>
      <c r="AG478" s="98" t="str">
        <f t="shared" si="285"/>
        <v>0.0140132373368199i</v>
      </c>
      <c r="AH478" s="98">
        <f t="shared" si="299"/>
        <v>1.40132373368199E-2</v>
      </c>
      <c r="AI478" s="98">
        <f t="shared" si="300"/>
        <v>1.5707963267948966</v>
      </c>
      <c r="AJ478" s="98" t="str">
        <f t="shared" si="286"/>
        <v>1+12.101930313804i</v>
      </c>
      <c r="AK478" s="98">
        <f t="shared" si="301"/>
        <v>12.143175751020333</v>
      </c>
      <c r="AL478" s="98">
        <f t="shared" si="302"/>
        <v>1.4883521821166392</v>
      </c>
      <c r="AM478" s="98" t="str">
        <f t="shared" si="287"/>
        <v>1+30817.0154563603i</v>
      </c>
      <c r="AN478" s="98">
        <f t="shared" si="303"/>
        <v>30817.015472585099</v>
      </c>
      <c r="AO478" s="98">
        <f t="shared" si="304"/>
        <v>1.5707638771892214</v>
      </c>
      <c r="AP478" s="168" t="str">
        <f t="shared" si="305"/>
        <v>-0.177828031235707+2.1529136676741i</v>
      </c>
      <c r="AQ478" s="98">
        <f t="shared" si="306"/>
        <v>6.6900616697287045</v>
      </c>
      <c r="AR478" s="169">
        <f t="shared" si="307"/>
        <v>94.721842310178047</v>
      </c>
      <c r="AS478" s="168" t="str">
        <f t="shared" si="308"/>
        <v>-0.0000195313427761595+0.0000133839894494812i</v>
      </c>
      <c r="AT478" s="190">
        <f t="shared" si="309"/>
        <v>-92.513434016926738</v>
      </c>
      <c r="AU478" s="169">
        <f t="shared" si="310"/>
        <v>145.57883533072558</v>
      </c>
      <c r="AV478" s="225"/>
      <c r="AX478">
        <f t="shared" si="311"/>
        <v>0</v>
      </c>
      <c r="AY478">
        <f t="shared" si="312"/>
        <v>0</v>
      </c>
    </row>
    <row r="479" spans="14:51" x14ac:dyDescent="0.2">
      <c r="N479" s="170">
        <v>61</v>
      </c>
      <c r="O479" s="199">
        <f t="shared" si="278"/>
        <v>407380.27780411334</v>
      </c>
      <c r="P479" s="189" t="str">
        <f t="shared" si="279"/>
        <v>771.276595744681</v>
      </c>
      <c r="Q479" s="160" t="str">
        <f t="shared" si="280"/>
        <v>1+2610838.69145221i</v>
      </c>
      <c r="R479" s="160">
        <f t="shared" si="288"/>
        <v>2610838.6914524012</v>
      </c>
      <c r="S479" s="160">
        <f t="shared" si="289"/>
        <v>1.5707959437762125</v>
      </c>
      <c r="T479" s="160" t="str">
        <f t="shared" si="281"/>
        <v>1+0.614314986224049i</v>
      </c>
      <c r="U479" s="160">
        <f t="shared" si="290"/>
        <v>1.1736195730727454</v>
      </c>
      <c r="V479" s="160">
        <f t="shared" si="291"/>
        <v>0.55087878666170953</v>
      </c>
      <c r="W479" s="98" t="str">
        <f t="shared" si="282"/>
        <v>1-1.7405591276348i</v>
      </c>
      <c r="X479" s="160">
        <f t="shared" si="292"/>
        <v>2.0073729291770417</v>
      </c>
      <c r="Y479" s="160">
        <f t="shared" si="293"/>
        <v>-1.0493168201951886</v>
      </c>
      <c r="Z479" s="98" t="str">
        <f t="shared" si="283"/>
        <v>-65.3834762975025-11.9172814554825i</v>
      </c>
      <c r="AA479" s="160">
        <f t="shared" si="294"/>
        <v>66.46066934687957</v>
      </c>
      <c r="AB479" s="160">
        <f t="shared" si="295"/>
        <v>-2.9613042676169772</v>
      </c>
      <c r="AC479" s="171" t="str">
        <f t="shared" si="296"/>
        <v>6.57420806553822E-06+8.15095796962792E-06i</v>
      </c>
      <c r="AD479" s="190">
        <f t="shared" si="297"/>
        <v>-99.59958382180514</v>
      </c>
      <c r="AE479" s="169">
        <f t="shared" si="298"/>
        <v>51.111862663617543</v>
      </c>
      <c r="AF479" s="98" t="str">
        <f t="shared" si="284"/>
        <v>-0.0000119284294234592</v>
      </c>
      <c r="AG479" s="98" t="str">
        <f t="shared" si="285"/>
        <v>0.0143396475659349i</v>
      </c>
      <c r="AH479" s="98">
        <f t="shared" si="299"/>
        <v>1.43396475659349E-2</v>
      </c>
      <c r="AI479" s="98">
        <f t="shared" si="300"/>
        <v>1.5707963267948966</v>
      </c>
      <c r="AJ479" s="98" t="str">
        <f t="shared" si="286"/>
        <v>1+12.3838204831856i</v>
      </c>
      <c r="AK479" s="98">
        <f t="shared" si="301"/>
        <v>12.424130140970322</v>
      </c>
      <c r="AL479" s="98">
        <f t="shared" si="302"/>
        <v>1.4902206339670208</v>
      </c>
      <c r="AM479" s="98" t="str">
        <f t="shared" si="287"/>
        <v>1+31534.8359595012i</v>
      </c>
      <c r="AN479" s="98">
        <f t="shared" si="303"/>
        <v>31534.83597535668</v>
      </c>
      <c r="AO479" s="98">
        <f t="shared" si="304"/>
        <v>1.5707646158324249</v>
      </c>
      <c r="AP479" s="168" t="str">
        <f t="shared" si="305"/>
        <v>-0.169876301839041+2.10454947587552i</v>
      </c>
      <c r="AQ479" s="98">
        <f t="shared" si="306"/>
        <v>6.4913874453525811</v>
      </c>
      <c r="AR479" s="169">
        <f t="shared" si="307"/>
        <v>94.614830226065891</v>
      </c>
      <c r="AS479" s="168" t="str">
        <f t="shared" si="308"/>
        <v>-0.0000182708964765579+0.0000124510915422992i</v>
      </c>
      <c r="AT479" s="190">
        <f t="shared" si="309"/>
        <v>-93.10819637645254</v>
      </c>
      <c r="AU479" s="169">
        <f t="shared" si="310"/>
        <v>145.72669288968356</v>
      </c>
      <c r="AV479" s="225"/>
      <c r="AX479">
        <f t="shared" si="311"/>
        <v>0</v>
      </c>
      <c r="AY479">
        <f t="shared" si="312"/>
        <v>0</v>
      </c>
    </row>
    <row r="480" spans="14:51" x14ac:dyDescent="0.2">
      <c r="N480" s="170">
        <v>62</v>
      </c>
      <c r="O480" s="199">
        <f t="shared" si="278"/>
        <v>416869.38347033598</v>
      </c>
      <c r="P480" s="189" t="str">
        <f t="shared" si="279"/>
        <v>771.276595744681</v>
      </c>
      <c r="Q480" s="160" t="str">
        <f t="shared" si="280"/>
        <v>1+2671652.93693851i</v>
      </c>
      <c r="R480" s="160">
        <f t="shared" si="288"/>
        <v>2671652.9369386965</v>
      </c>
      <c r="S480" s="160">
        <f t="shared" si="289"/>
        <v>1.5707959524947821</v>
      </c>
      <c r="T480" s="160" t="str">
        <f t="shared" si="281"/>
        <v>1+0.628624220456119i</v>
      </c>
      <c r="U480" s="160">
        <f t="shared" si="290"/>
        <v>1.1811724728184547</v>
      </c>
      <c r="V480" s="160">
        <f t="shared" si="291"/>
        <v>0.5612012522652563</v>
      </c>
      <c r="W480" s="98" t="str">
        <f t="shared" si="282"/>
        <v>1-1.781101957959i</v>
      </c>
      <c r="X480" s="160">
        <f t="shared" si="292"/>
        <v>2.0426267854518563</v>
      </c>
      <c r="Y480" s="160">
        <f t="shared" si="293"/>
        <v>-1.059204719954465</v>
      </c>
      <c r="Z480" s="98" t="str">
        <f t="shared" si="283"/>
        <v>-68.5120331499755-12.1948706004327i</v>
      </c>
      <c r="AA480" s="160">
        <f t="shared" si="294"/>
        <v>69.588889596721103</v>
      </c>
      <c r="AB480" s="160">
        <f t="shared" si="295"/>
        <v>-2.9654414605987394</v>
      </c>
      <c r="AC480" s="171" t="str">
        <f t="shared" si="296"/>
        <v>6.24801323183286E-06+7.81941610703054E-06i</v>
      </c>
      <c r="AD480" s="190">
        <f t="shared" si="297"/>
        <v>-99.992149080365905</v>
      </c>
      <c r="AE480" s="169">
        <f t="shared" si="298"/>
        <v>51.373804649763706</v>
      </c>
      <c r="AF480" s="98" t="str">
        <f t="shared" si="284"/>
        <v>-0.0000119284294234592</v>
      </c>
      <c r="AG480" s="98" t="str">
        <f t="shared" si="285"/>
        <v>0.0146736608659969i</v>
      </c>
      <c r="AH480" s="98">
        <f t="shared" si="299"/>
        <v>1.4673660865996901E-2</v>
      </c>
      <c r="AI480" s="98">
        <f t="shared" si="300"/>
        <v>1.5707963267948966</v>
      </c>
      <c r="AJ480" s="98" t="str">
        <f t="shared" si="286"/>
        <v>1+12.6722767181067i</v>
      </c>
      <c r="AK480" s="98">
        <f t="shared" si="301"/>
        <v>12.711671692592956</v>
      </c>
      <c r="AL480" s="98">
        <f t="shared" si="302"/>
        <v>1.4920470996316753</v>
      </c>
      <c r="AM480" s="98" t="str">
        <f t="shared" si="287"/>
        <v>1+32269.3766500808i</v>
      </c>
      <c r="AN480" s="98">
        <f t="shared" si="303"/>
        <v>32269.376665575364</v>
      </c>
      <c r="AO480" s="98">
        <f t="shared" si="304"/>
        <v>1.5707653376620565</v>
      </c>
      <c r="AP480" s="168" t="str">
        <f t="shared" si="305"/>
        <v>-0.162277925178293+2.05724368744534i</v>
      </c>
      <c r="AQ480" s="98">
        <f t="shared" si="306"/>
        <v>6.2926539291638663</v>
      </c>
      <c r="AR480" s="169">
        <f t="shared" si="307"/>
        <v>94.510222809847065</v>
      </c>
      <c r="AS480" s="168" t="str">
        <f t="shared" si="308"/>
        <v>-0.0000171003590494453+0.0000115847671583085i</v>
      </c>
      <c r="AT480" s="190">
        <f t="shared" si="309"/>
        <v>-93.699495151202044</v>
      </c>
      <c r="AU480" s="169">
        <f t="shared" si="310"/>
        <v>145.88402745961062</v>
      </c>
      <c r="AV480" s="225"/>
      <c r="AX480">
        <f t="shared" si="311"/>
        <v>0</v>
      </c>
      <c r="AY480">
        <f t="shared" si="312"/>
        <v>0</v>
      </c>
    </row>
    <row r="481" spans="14:51" x14ac:dyDescent="0.2">
      <c r="N481" s="170">
        <v>63</v>
      </c>
      <c r="O481" s="199">
        <f t="shared" si="278"/>
        <v>426579.51880159322</v>
      </c>
      <c r="P481" s="189" t="str">
        <f t="shared" si="279"/>
        <v>771.276595744681</v>
      </c>
      <c r="Q481" s="160" t="str">
        <f t="shared" si="280"/>
        <v>1+2733883.72817547i</v>
      </c>
      <c r="R481" s="160">
        <f t="shared" si="288"/>
        <v>2733883.7281756527</v>
      </c>
      <c r="S481" s="160">
        <f t="shared" si="289"/>
        <v>1.5707959610148929</v>
      </c>
      <c r="T481" s="160" t="str">
        <f t="shared" si="281"/>
        <v>1+0.643266759570698i</v>
      </c>
      <c r="U481" s="160">
        <f t="shared" si="290"/>
        <v>1.1890299087779863</v>
      </c>
      <c r="V481" s="160">
        <f t="shared" si="291"/>
        <v>0.57162726292896837</v>
      </c>
      <c r="W481" s="98" t="str">
        <f t="shared" si="282"/>
        <v>1-1.82258915211698i</v>
      </c>
      <c r="X481" s="160">
        <f t="shared" si="292"/>
        <v>2.0789014448536256</v>
      </c>
      <c r="Y481" s="160">
        <f t="shared" si="293"/>
        <v>-1.0689747983689328</v>
      </c>
      <c r="Z481" s="98" t="str">
        <f t="shared" si="283"/>
        <v>-71.7880343443998-12.4789256271934i</v>
      </c>
      <c r="AA481" s="160">
        <f t="shared" si="294"/>
        <v>72.86456930389248</v>
      </c>
      <c r="AB481" s="160">
        <f t="shared" si="295"/>
        <v>-2.9694822886225611</v>
      </c>
      <c r="AC481" s="171" t="str">
        <f t="shared" si="296"/>
        <v>5.93915498806104E-06+7.50488769061783E-06i</v>
      </c>
      <c r="AD481" s="190">
        <f t="shared" si="297"/>
        <v>-100.38119218530682</v>
      </c>
      <c r="AE481" s="169">
        <f t="shared" si="298"/>
        <v>51.642908702628674</v>
      </c>
      <c r="AF481" s="98" t="str">
        <f t="shared" si="284"/>
        <v>-0.0000119284294234592</v>
      </c>
      <c r="AG481" s="98" t="str">
        <f t="shared" si="285"/>
        <v>0.015015454335279i</v>
      </c>
      <c r="AH481" s="98">
        <f t="shared" si="299"/>
        <v>1.5015454335279E-2</v>
      </c>
      <c r="AI481" s="98">
        <f t="shared" si="300"/>
        <v>1.5707963267948966</v>
      </c>
      <c r="AJ481" s="98" t="str">
        <f t="shared" si="286"/>
        <v>1+12.9674519618812i</v>
      </c>
      <c r="AK481" s="98">
        <f t="shared" si="301"/>
        <v>13.005952882572524</v>
      </c>
      <c r="AL481" s="98">
        <f t="shared" si="302"/>
        <v>1.4938324987553067</v>
      </c>
      <c r="AM481" s="98" t="str">
        <f t="shared" si="287"/>
        <v>1+33021.0269912958i</v>
      </c>
      <c r="AN481" s="98">
        <f t="shared" si="303"/>
        <v>33021.027006437675</v>
      </c>
      <c r="AO481" s="98">
        <f t="shared" si="304"/>
        <v>1.5707660430608397</v>
      </c>
      <c r="AP481" s="168" t="str">
        <f t="shared" si="305"/>
        <v>-0.155017393085341+2.01097500824638i</v>
      </c>
      <c r="AQ481" s="98">
        <f t="shared" si="306"/>
        <v>6.093863756682099</v>
      </c>
      <c r="AR481" s="169">
        <f t="shared" si="307"/>
        <v>94.407967391689766</v>
      </c>
      <c r="AS481" s="168" t="str">
        <f t="shared" si="308"/>
        <v>-0.0000160128139089074+0.0000107801041258947i</v>
      </c>
      <c r="AT481" s="190">
        <f t="shared" si="309"/>
        <v>-94.287328428624718</v>
      </c>
      <c r="AU481" s="169">
        <f t="shared" si="310"/>
        <v>146.0508760943186</v>
      </c>
      <c r="AV481" s="225"/>
      <c r="AX481">
        <f t="shared" si="311"/>
        <v>0</v>
      </c>
      <c r="AY481">
        <f t="shared" si="312"/>
        <v>0</v>
      </c>
    </row>
    <row r="482" spans="14:51" x14ac:dyDescent="0.2">
      <c r="N482" s="170">
        <v>64</v>
      </c>
      <c r="O482" s="199">
        <f t="shared" si="278"/>
        <v>436515.83224016649</v>
      </c>
      <c r="P482" s="189" t="str">
        <f t="shared" si="279"/>
        <v>771.276595744681</v>
      </c>
      <c r="Q482" s="160" t="str">
        <f t="shared" si="280"/>
        <v>1+2797564.06075233i</v>
      </c>
      <c r="R482" s="160">
        <f t="shared" si="288"/>
        <v>2797564.0607525082</v>
      </c>
      <c r="S482" s="160">
        <f t="shared" si="289"/>
        <v>1.5707959693410625</v>
      </c>
      <c r="T482" s="160" t="str">
        <f t="shared" si="281"/>
        <v>1+0.658250367235843i</v>
      </c>
      <c r="U482" s="160">
        <f t="shared" si="290"/>
        <v>1.1972023830439538</v>
      </c>
      <c r="V482" s="160">
        <f t="shared" si="291"/>
        <v>0.58215327978168552</v>
      </c>
      <c r="W482" s="98" t="str">
        <f t="shared" si="282"/>
        <v>1-1.86504270716822i</v>
      </c>
      <c r="X482" s="160">
        <f t="shared" si="292"/>
        <v>2.1162193410800691</v>
      </c>
      <c r="Y482" s="160">
        <f t="shared" si="293"/>
        <v>-1.0786247741611492</v>
      </c>
      <c r="Z482" s="98" t="str">
        <f t="shared" si="283"/>
        <v>-75.21842871853-12.7695971454997i</v>
      </c>
      <c r="AA482" s="160">
        <f t="shared" si="294"/>
        <v>76.294656629038798</v>
      </c>
      <c r="AB482" s="160">
        <f t="shared" si="295"/>
        <v>-2.9734290877844911</v>
      </c>
      <c r="AC482" s="171" t="str">
        <f t="shared" si="296"/>
        <v>5.64662092401968E-06+0.0000072063841053855i</v>
      </c>
      <c r="AD482" s="190">
        <f t="shared" si="297"/>
        <v>-100.76671516021953</v>
      </c>
      <c r="AE482" s="169">
        <f t="shared" si="298"/>
        <v>51.919236615585525</v>
      </c>
      <c r="AF482" s="98" t="str">
        <f t="shared" si="284"/>
        <v>-0.0000119284294234592</v>
      </c>
      <c r="AG482" s="98" t="str">
        <f t="shared" si="285"/>
        <v>0.0153652091972027i</v>
      </c>
      <c r="AH482" s="98">
        <f t="shared" si="299"/>
        <v>1.53652091972027E-2</v>
      </c>
      <c r="AI482" s="98">
        <f t="shared" si="300"/>
        <v>1.5707963267948966</v>
      </c>
      <c r="AJ482" s="98" t="str">
        <f t="shared" si="286"/>
        <v>1+13.2695027203303i</v>
      </c>
      <c r="AK482" s="98">
        <f t="shared" si="301"/>
        <v>13.307129759826244</v>
      </c>
      <c r="AL482" s="98">
        <f t="shared" si="302"/>
        <v>1.4955777324249111</v>
      </c>
      <c r="AM482" s="98" t="str">
        <f t="shared" si="287"/>
        <v>1+33790.1855181066i</v>
      </c>
      <c r="AN482" s="98">
        <f t="shared" si="303"/>
        <v>33790.185532903794</v>
      </c>
      <c r="AO482" s="98">
        <f t="shared" si="304"/>
        <v>1.5707667324027861</v>
      </c>
      <c r="AP482" s="168" t="str">
        <f t="shared" si="305"/>
        <v>-0.148079861054046+1.9657224462561i</v>
      </c>
      <c r="AQ482" s="98">
        <f t="shared" si="306"/>
        <v>5.8950194476912499</v>
      </c>
      <c r="AR482" s="169">
        <f t="shared" si="307"/>
        <v>94.308012364541497</v>
      </c>
      <c r="AS482" s="168" t="str">
        <f t="shared" si="308"/>
        <v>-0.0000150019018341532+0.0000100325691388173i</v>
      </c>
      <c r="AT482" s="190">
        <f t="shared" si="309"/>
        <v>-94.871695712528265</v>
      </c>
      <c r="AU482" s="169">
        <f t="shared" si="310"/>
        <v>146.22724898012703</v>
      </c>
      <c r="AV482" s="225"/>
      <c r="AX482">
        <f t="shared" si="311"/>
        <v>0</v>
      </c>
      <c r="AY482">
        <f t="shared" si="312"/>
        <v>0</v>
      </c>
    </row>
    <row r="483" spans="14:51" x14ac:dyDescent="0.2">
      <c r="N483" s="170">
        <v>65</v>
      </c>
      <c r="O483" s="199">
        <f t="shared" si="278"/>
        <v>446683.59215096442</v>
      </c>
      <c r="P483" s="189" t="str">
        <f t="shared" si="279"/>
        <v>771.276595744681</v>
      </c>
      <c r="Q483" s="160" t="str">
        <f t="shared" si="280"/>
        <v>1+2862727.69882436i</v>
      </c>
      <c r="R483" s="160">
        <f t="shared" si="288"/>
        <v>2862727.6988245347</v>
      </c>
      <c r="S483" s="160">
        <f t="shared" si="289"/>
        <v>1.5707959774777049</v>
      </c>
      <c r="T483" s="160" t="str">
        <f t="shared" si="281"/>
        <v>1+0.673582987958673i</v>
      </c>
      <c r="U483" s="160">
        <f t="shared" si="290"/>
        <v>1.2057006434713942</v>
      </c>
      <c r="V483" s="160">
        <f t="shared" si="291"/>
        <v>0.59277555365567125</v>
      </c>
      <c r="W483" s="98" t="str">
        <f t="shared" si="282"/>
        <v>1-1.90848513254957i</v>
      </c>
      <c r="X483" s="160">
        <f t="shared" si="292"/>
        <v>2.1546033280311132</v>
      </c>
      <c r="Y483" s="160">
        <f t="shared" si="293"/>
        <v>-1.0881525740916351</v>
      </c>
      <c r="Z483" s="98" t="str">
        <f t="shared" si="283"/>
        <v>-78.8104925987559-13.0670392732382i</v>
      </c>
      <c r="AA483" s="160">
        <f t="shared" si="294"/>
        <v>79.886427251610826</v>
      </c>
      <c r="AB483" s="160">
        <f t="shared" si="295"/>
        <v>-2.9772841318922092</v>
      </c>
      <c r="AC483" s="171" t="str">
        <f t="shared" si="296"/>
        <v>5.36946441596672E-06+6.92297602497112E-06i</v>
      </c>
      <c r="AD483" s="190">
        <f t="shared" si="297"/>
        <v>-101.14872133675932</v>
      </c>
      <c r="AE483" s="169">
        <f t="shared" si="298"/>
        <v>52.202822644348814</v>
      </c>
      <c r="AF483" s="98" t="str">
        <f t="shared" si="284"/>
        <v>-0.0000119284294234592</v>
      </c>
      <c r="AG483" s="98" t="str">
        <f t="shared" si="285"/>
        <v>0.0157231108964253i</v>
      </c>
      <c r="AH483" s="98">
        <f t="shared" si="299"/>
        <v>1.5723110896425301E-2</v>
      </c>
      <c r="AI483" s="98">
        <f t="shared" si="300"/>
        <v>1.5707963267948966</v>
      </c>
      <c r="AJ483" s="98" t="str">
        <f t="shared" si="286"/>
        <v>1+13.5785891447645i</v>
      </c>
      <c r="AK483" s="98">
        <f t="shared" si="301"/>
        <v>13.615362028323608</v>
      </c>
      <c r="AL483" s="98">
        <f t="shared" si="302"/>
        <v>1.4972836834370713</v>
      </c>
      <c r="AM483" s="98" t="str">
        <f t="shared" si="287"/>
        <v>1+34577.2600485452i</v>
      </c>
      <c r="AN483" s="98">
        <f t="shared" si="303"/>
        <v>34577.260063005568</v>
      </c>
      <c r="AO483" s="98">
        <f t="shared" si="304"/>
        <v>1.5707674060533943</v>
      </c>
      <c r="AP483" s="168" t="str">
        <f t="shared" si="305"/>
        <v>-0.141451121331133+1.92146531643109i</v>
      </c>
      <c r="AQ483" s="98">
        <f t="shared" si="306"/>
        <v>5.6961234111984478</v>
      </c>
      <c r="AR483" s="169">
        <f t="shared" si="307"/>
        <v>94.210307168825352</v>
      </c>
      <c r="AS483" s="168" t="str">
        <f t="shared" si="308"/>
        <v>-0.0000140617750810521+9.33797692141026E-06i</v>
      </c>
      <c r="AT483" s="190">
        <f t="shared" si="309"/>
        <v>-95.452597925560866</v>
      </c>
      <c r="AU483" s="169">
        <f t="shared" si="310"/>
        <v>146.41312981317418</v>
      </c>
      <c r="AV483" s="225"/>
      <c r="AX483">
        <f t="shared" si="311"/>
        <v>0</v>
      </c>
      <c r="AY483">
        <f t="shared" si="312"/>
        <v>0</v>
      </c>
    </row>
    <row r="484" spans="14:51" x14ac:dyDescent="0.2">
      <c r="N484" s="170">
        <v>66</v>
      </c>
      <c r="O484" s="199">
        <f t="shared" ref="O484:O518" si="313">10^(5+(N484/100))</f>
        <v>457088.18961487547</v>
      </c>
      <c r="P484" s="189" t="str">
        <f t="shared" si="279"/>
        <v>771.276595744681</v>
      </c>
      <c r="Q484" s="160" t="str">
        <f t="shared" si="280"/>
        <v>1+2929409.19301497i</v>
      </c>
      <c r="R484" s="160">
        <f t="shared" si="288"/>
        <v>2929409.1930151405</v>
      </c>
      <c r="S484" s="160">
        <f t="shared" si="289"/>
        <v>1.5707959854291351</v>
      </c>
      <c r="T484" s="160" t="str">
        <f t="shared" si="281"/>
        <v>1+0.68927275129764i</v>
      </c>
      <c r="U484" s="160">
        <f t="shared" si="290"/>
        <v>1.2145356831651422</v>
      </c>
      <c r="V484" s="160">
        <f t="shared" si="291"/>
        <v>0.60349012820461234</v>
      </c>
      <c r="W484" s="98" t="str">
        <f t="shared" si="282"/>
        <v>1-1.95293946200998i</v>
      </c>
      <c r="X484" s="160">
        <f t="shared" si="292"/>
        <v>2.1940766947114292</v>
      </c>
      <c r="Y484" s="160">
        <f t="shared" si="293"/>
        <v>-1.0975563297017688</v>
      </c>
      <c r="Z484" s="98" t="str">
        <f t="shared" si="283"/>
        <v>-82.5718452341618-13.371409718162i</v>
      </c>
      <c r="AA484" s="160">
        <f t="shared" si="294"/>
        <v>83.647499802596172</v>
      </c>
      <c r="AB484" s="160">
        <f t="shared" si="295"/>
        <v>-2.9810496344467552</v>
      </c>
      <c r="AC484" s="171" t="str">
        <f t="shared" si="296"/>
        <v>5.10679991463472E-06+6.65378997612862E-06i</v>
      </c>
      <c r="AD484" s="190">
        <f t="shared" si="297"/>
        <v>-101.52721536718316</v>
      </c>
      <c r="AE484" s="169">
        <f t="shared" si="298"/>
        <v>52.493673985786238</v>
      </c>
      <c r="AF484" s="98" t="str">
        <f t="shared" si="284"/>
        <v>-0.0000119284294234592</v>
      </c>
      <c r="AG484" s="98" t="str">
        <f t="shared" si="285"/>
        <v>0.0160893491971652i</v>
      </c>
      <c r="AH484" s="98">
        <f t="shared" si="299"/>
        <v>1.60893491971652E-2</v>
      </c>
      <c r="AI484" s="98">
        <f t="shared" si="300"/>
        <v>1.5707963267948966</v>
      </c>
      <c r="AJ484" s="98" t="str">
        <f t="shared" si="286"/>
        <v>1+13.8948751168969i</v>
      </c>
      <c r="AK484" s="98">
        <f t="shared" si="301"/>
        <v>13.930813131836944</v>
      </c>
      <c r="AL484" s="98">
        <f t="shared" si="302"/>
        <v>1.4989512165691443</v>
      </c>
      <c r="AM484" s="98" t="str">
        <f t="shared" si="287"/>
        <v>1+35382.6678999455i</v>
      </c>
      <c r="AN484" s="98">
        <f t="shared" si="303"/>
        <v>35382.667914076716</v>
      </c>
      <c r="AO484" s="98">
        <f t="shared" si="304"/>
        <v>1.5707680643698425</v>
      </c>
      <c r="AP484" s="168" t="str">
        <f t="shared" si="305"/>
        <v>-0.135117576965253+1.87818324472474i</v>
      </c>
      <c r="AQ484" s="98">
        <f t="shared" si="306"/>
        <v>5.4971779501909976</v>
      </c>
      <c r="AR484" s="169">
        <f t="shared" si="307"/>
        <v>94.114802276913395</v>
      </c>
      <c r="AS484" s="168" t="str">
        <f t="shared" si="308"/>
        <v>-0.000013187055277594+8.69246205461848E-06i</v>
      </c>
      <c r="AT484" s="190">
        <f t="shared" si="309"/>
        <v>-96.030037416992144</v>
      </c>
      <c r="AU484" s="169">
        <f t="shared" si="310"/>
        <v>146.60847626269958</v>
      </c>
      <c r="AV484" s="225"/>
      <c r="AX484">
        <f t="shared" si="311"/>
        <v>0</v>
      </c>
      <c r="AY484">
        <f t="shared" si="312"/>
        <v>0</v>
      </c>
    </row>
    <row r="485" spans="14:51" x14ac:dyDescent="0.2">
      <c r="N485" s="170">
        <v>67</v>
      </c>
      <c r="O485" s="199">
        <f t="shared" si="313"/>
        <v>467735.14128719864</v>
      </c>
      <c r="P485" s="189" t="str">
        <f t="shared" si="279"/>
        <v>771.276595744681</v>
      </c>
      <c r="Q485" s="160" t="str">
        <f t="shared" si="280"/>
        <v>1+2997643.89873504i</v>
      </c>
      <c r="R485" s="160">
        <f t="shared" si="288"/>
        <v>2997643.8987352061</v>
      </c>
      <c r="S485" s="160">
        <f t="shared" si="289"/>
        <v>1.5707959931995685</v>
      </c>
      <c r="T485" s="160" t="str">
        <f t="shared" si="281"/>
        <v>1+0.705327976172949i</v>
      </c>
      <c r="U485" s="160">
        <f t="shared" si="290"/>
        <v>1.2237187397323896</v>
      </c>
      <c r="V485" s="160">
        <f t="shared" si="291"/>
        <v>0.61429284398852269</v>
      </c>
      <c r="W485" s="98" t="str">
        <f t="shared" si="282"/>
        <v>1-1.99842926582335i</v>
      </c>
      <c r="X485" s="160">
        <f t="shared" si="292"/>
        <v>2.2346631805485258</v>
      </c>
      <c r="Y485" s="160">
        <f t="shared" si="293"/>
        <v>-1.1068343734685575</v>
      </c>
      <c r="Z485" s="98" t="str">
        <f t="shared" si="283"/>
        <v>-86.5104649579821-13.6828698615099i</v>
      </c>
      <c r="AA485" s="160">
        <f t="shared" si="294"/>
        <v>87.585852024703527</v>
      </c>
      <c r="AB485" s="160">
        <f t="shared" si="295"/>
        <v>-2.9847277505464191</v>
      </c>
      <c r="AC485" s="171" t="str">
        <f t="shared" si="296"/>
        <v>0.0000048577985955006+6.39800507980194E-06i</v>
      </c>
      <c r="AD485" s="190">
        <f t="shared" si="297"/>
        <v>-101.90220324155391</v>
      </c>
      <c r="AE485" s="169">
        <f t="shared" si="298"/>
        <v>52.791771341365724</v>
      </c>
      <c r="AF485" s="98" t="str">
        <f t="shared" si="284"/>
        <v>-0.0000119284294234592</v>
      </c>
      <c r="AG485" s="98" t="str">
        <f t="shared" si="285"/>
        <v>0.0164641182838171i</v>
      </c>
      <c r="AH485" s="98">
        <f t="shared" si="299"/>
        <v>1.6464118283817102E-2</v>
      </c>
      <c r="AI485" s="98">
        <f t="shared" si="300"/>
        <v>1.5707963267948966</v>
      </c>
      <c r="AJ485" s="98" t="str">
        <f t="shared" si="286"/>
        <v>1+14.2185283357369i</v>
      </c>
      <c r="AK485" s="98">
        <f t="shared" si="301"/>
        <v>14.253650340672497</v>
      </c>
      <c r="AL485" s="98">
        <f t="shared" si="302"/>
        <v>1.5005811788536456</v>
      </c>
      <c r="AM485" s="98" t="str">
        <f t="shared" si="287"/>
        <v>1+36206.8361102114i</v>
      </c>
      <c r="AN485" s="98">
        <f t="shared" si="303"/>
        <v>36206.836124020941</v>
      </c>
      <c r="AO485" s="98">
        <f t="shared" si="304"/>
        <v>1.5707687077011789</v>
      </c>
      <c r="AP485" s="168" t="str">
        <f t="shared" si="305"/>
        <v>-0.129066216792332+1.83585617132145i</v>
      </c>
      <c r="AQ485" s="98">
        <f t="shared" si="306"/>
        <v>5.2981852661989093</v>
      </c>
      <c r="AR485" s="169">
        <f t="shared" si="307"/>
        <v>94.021449177416386</v>
      </c>
      <c r="AS485" s="168" t="str">
        <f t="shared" si="308"/>
        <v>-0.0000123727947965607+8.09245321991829E-06i</v>
      </c>
      <c r="AT485" s="190">
        <f t="shared" si="309"/>
        <v>-96.604017975355006</v>
      </c>
      <c r="AU485" s="169">
        <f t="shared" si="310"/>
        <v>146.813220518782</v>
      </c>
      <c r="AV485" s="225"/>
      <c r="AX485">
        <f t="shared" si="311"/>
        <v>0</v>
      </c>
      <c r="AY485">
        <f t="shared" si="312"/>
        <v>0</v>
      </c>
    </row>
    <row r="486" spans="14:51" x14ac:dyDescent="0.2">
      <c r="N486" s="170">
        <v>68</v>
      </c>
      <c r="O486" s="199">
        <f t="shared" si="313"/>
        <v>478630.09232263872</v>
      </c>
      <c r="P486" s="189" t="str">
        <f t="shared" si="279"/>
        <v>771.276595744681</v>
      </c>
      <c r="Q486" s="160" t="str">
        <f t="shared" si="280"/>
        <v>1+3067467.99492872i</v>
      </c>
      <c r="R486" s="160">
        <f t="shared" si="288"/>
        <v>3067467.9949288829</v>
      </c>
      <c r="S486" s="160">
        <f t="shared" si="289"/>
        <v>1.5707960007931252</v>
      </c>
      <c r="T486" s="160" t="str">
        <f t="shared" si="281"/>
        <v>1+0.721757175277346i</v>
      </c>
      <c r="U486" s="160">
        <f t="shared" si="290"/>
        <v>1.2332612943185777</v>
      </c>
      <c r="V486" s="160">
        <f t="shared" si="291"/>
        <v>0.62517934354214577</v>
      </c>
      <c r="W486" s="98" t="str">
        <f t="shared" si="282"/>
        <v>1-2.04497866328581i</v>
      </c>
      <c r="X486" s="160">
        <f t="shared" si="292"/>
        <v>2.2763869911098635</v>
      </c>
      <c r="Y486" s="160">
        <f t="shared" si="293"/>
        <v>-1.1159852344265335</v>
      </c>
      <c r="Z486" s="98" t="str">
        <f t="shared" si="283"/>
        <v>-90.634706110711-14.0015848435726i</v>
      </c>
      <c r="AA486" s="160">
        <f t="shared" si="294"/>
        <v>91.709837694255654</v>
      </c>
      <c r="AB486" s="160">
        <f t="shared" si="295"/>
        <v>-2.9883205787161766</v>
      </c>
      <c r="AC486" s="171" t="str">
        <f t="shared" si="296"/>
        <v>4.62168434234271E-06+0.0000061548499627454i</v>
      </c>
      <c r="AD486" s="190">
        <f t="shared" si="297"/>
        <v>-102.27369230909282</v>
      </c>
      <c r="AE486" s="169">
        <f t="shared" si="298"/>
        <v>53.097069563220344</v>
      </c>
      <c r="AF486" s="98" t="str">
        <f t="shared" si="284"/>
        <v>-0.0000119284294234592</v>
      </c>
      <c r="AG486" s="98" t="str">
        <f t="shared" si="285"/>
        <v>0.0168476168639115i</v>
      </c>
      <c r="AH486" s="98">
        <f t="shared" si="299"/>
        <v>1.6847616863911501E-2</v>
      </c>
      <c r="AI486" s="98">
        <f t="shared" si="300"/>
        <v>1.5707963267948966</v>
      </c>
      <c r="AJ486" s="98" t="str">
        <f t="shared" si="286"/>
        <v>1+14.5497204065049i</v>
      </c>
      <c r="AK486" s="98">
        <f t="shared" si="301"/>
        <v>14.584044840422875</v>
      </c>
      <c r="AL486" s="98">
        <f t="shared" si="302"/>
        <v>1.5021743998551382</v>
      </c>
      <c r="AM486" s="98" t="str">
        <f t="shared" si="287"/>
        <v>1+37050.2016642371i</v>
      </c>
      <c r="AN486" s="98">
        <f t="shared" si="303"/>
        <v>37050.201677732301</v>
      </c>
      <c r="AO486" s="98">
        <f t="shared" si="304"/>
        <v>1.5707693363885065</v>
      </c>
      <c r="AP486" s="168" t="str">
        <f t="shared" si="305"/>
        <v>-0.1232845913347+1.79446435314704i</v>
      </c>
      <c r="AQ486" s="98">
        <f t="shared" si="306"/>
        <v>5.0991474636707217</v>
      </c>
      <c r="AR486" s="169">
        <f t="shared" si="307"/>
        <v>93.93020035932976</v>
      </c>
      <c r="AS486" s="168" t="str">
        <f t="shared" si="308"/>
        <v>-0.0000116144413225387+7.53464964144835E-06i</v>
      </c>
      <c r="AT486" s="190">
        <f t="shared" si="309"/>
        <v>-97.174544845422105</v>
      </c>
      <c r="AU486" s="169">
        <f t="shared" si="310"/>
        <v>147.02726992255009</v>
      </c>
      <c r="AV486" s="225"/>
      <c r="AX486">
        <f t="shared" si="311"/>
        <v>0</v>
      </c>
      <c r="AY486">
        <f t="shared" si="312"/>
        <v>0</v>
      </c>
    </row>
    <row r="487" spans="14:51" x14ac:dyDescent="0.2">
      <c r="N487" s="170">
        <v>69</v>
      </c>
      <c r="O487" s="199">
        <f t="shared" si="313"/>
        <v>489778.81936844654</v>
      </c>
      <c r="P487" s="189" t="str">
        <f t="shared" si="279"/>
        <v>771.276595744681</v>
      </c>
      <c r="Q487" s="160" t="str">
        <f t="shared" si="280"/>
        <v>1+3138918.50325606i</v>
      </c>
      <c r="R487" s="160">
        <f t="shared" si="288"/>
        <v>3138918.503256219</v>
      </c>
      <c r="S487" s="160">
        <f t="shared" si="289"/>
        <v>1.5707960082138315</v>
      </c>
      <c r="T487" s="160" t="str">
        <f t="shared" si="281"/>
        <v>1+0.738569059589661i</v>
      </c>
      <c r="U487" s="160">
        <f t="shared" si="290"/>
        <v>1.2431750704479061</v>
      </c>
      <c r="V487" s="160">
        <f t="shared" si="291"/>
        <v>0.63614507743581306</v>
      </c>
      <c r="W487" s="98" t="str">
        <f t="shared" si="282"/>
        <v>1-2.09261233550404i</v>
      </c>
      <c r="X487" s="160">
        <f t="shared" si="292"/>
        <v>2.3192728142035541</v>
      </c>
      <c r="Y487" s="160">
        <f t="shared" si="293"/>
        <v>-1.1250076333121961</v>
      </c>
      <c r="Z487" s="98" t="str">
        <f t="shared" si="283"/>
        <v>-94.95331676078-14.3277236512523i</v>
      </c>
      <c r="AA487" s="160">
        <f t="shared" si="294"/>
        <v>96.028204340702317</v>
      </c>
      <c r="AB487" s="160">
        <f t="shared" si="295"/>
        <v>-2.9918301626659818</v>
      </c>
      <c r="AC487" s="171" t="str">
        <f t="shared" si="296"/>
        <v>4.39773003745295E-06+5.92359983340156E-06i</v>
      </c>
      <c r="AD487" s="190">
        <f t="shared" si="297"/>
        <v>-102.64169130309425</v>
      </c>
      <c r="AE487" s="169">
        <f t="shared" si="298"/>
        <v>53.409498380354599</v>
      </c>
      <c r="AF487" s="98" t="str">
        <f t="shared" si="284"/>
        <v>-0.0000119284294234592</v>
      </c>
      <c r="AG487" s="98" t="str">
        <f t="shared" si="285"/>
        <v>0.0172400482734717i</v>
      </c>
      <c r="AH487" s="98">
        <f t="shared" si="299"/>
        <v>1.7240048273471701E-2</v>
      </c>
      <c r="AI487" s="98">
        <f t="shared" si="300"/>
        <v>1.5707963267948966</v>
      </c>
      <c r="AJ487" s="98" t="str">
        <f t="shared" si="286"/>
        <v>1+14.8886269316207i</v>
      </c>
      <c r="AK487" s="98">
        <f t="shared" si="301"/>
        <v>14.922171822793798</v>
      </c>
      <c r="AL487" s="98">
        <f t="shared" si="302"/>
        <v>1.5037316919490498</v>
      </c>
      <c r="AM487" s="98" t="str">
        <f t="shared" si="287"/>
        <v>1+37913.2117256026i</v>
      </c>
      <c r="AN487" s="98">
        <f t="shared" si="303"/>
        <v>37913.211738790611</v>
      </c>
      <c r="AO487" s="98">
        <f t="shared" si="304"/>
        <v>1.5707699507651631</v>
      </c>
      <c r="AP487" s="168" t="str">
        <f t="shared" si="305"/>
        <v>-0.117760789590726+1.75398836571092i</v>
      </c>
      <c r="AQ487" s="98">
        <f t="shared" si="306"/>
        <v>4.9000665541682507</v>
      </c>
      <c r="AR487" s="169">
        <f t="shared" si="307"/>
        <v>93.841009296068961</v>
      </c>
      <c r="AS487" s="168" t="str">
        <f t="shared" si="308"/>
        <v>-0.0000109078053525308+7.01599952762906E-06i</v>
      </c>
      <c r="AT487" s="190">
        <f t="shared" si="309"/>
        <v>-97.741624748925986</v>
      </c>
      <c r="AU487" s="169">
        <f t="shared" si="310"/>
        <v>147.25050767642361</v>
      </c>
      <c r="AV487" s="225"/>
      <c r="AX487">
        <f t="shared" si="311"/>
        <v>0</v>
      </c>
      <c r="AY487">
        <f t="shared" si="312"/>
        <v>0</v>
      </c>
    </row>
    <row r="488" spans="14:51" x14ac:dyDescent="0.2">
      <c r="N488" s="170">
        <v>70</v>
      </c>
      <c r="O488" s="199">
        <f t="shared" si="313"/>
        <v>501187.23362727347</v>
      </c>
      <c r="P488" s="189" t="str">
        <f t="shared" si="279"/>
        <v>771.276595744681</v>
      </c>
      <c r="Q488" s="160" t="str">
        <f t="shared" si="280"/>
        <v>1+3212033.30772233i</v>
      </c>
      <c r="R488" s="160">
        <f t="shared" si="288"/>
        <v>3212033.3077224856</v>
      </c>
      <c r="S488" s="160">
        <f t="shared" si="289"/>
        <v>1.570796015465622</v>
      </c>
      <c r="T488" s="160" t="str">
        <f t="shared" si="281"/>
        <v>1+0.755772542993488i</v>
      </c>
      <c r="U488" s="160">
        <f t="shared" si="290"/>
        <v>1.2534720326927298</v>
      </c>
      <c r="V488" s="160">
        <f t="shared" si="291"/>
        <v>0.64718531132943347</v>
      </c>
      <c r="W488" s="98" t="str">
        <f t="shared" si="282"/>
        <v>1-2.14135553848155i</v>
      </c>
      <c r="X488" s="160">
        <f t="shared" si="292"/>
        <v>2.3633458363484614</v>
      </c>
      <c r="Y488" s="160">
        <f t="shared" si="293"/>
        <v>-1.1339004772860131</v>
      </c>
      <c r="Z488" s="98" t="str">
        <f t="shared" si="283"/>
        <v>-99.475457260384-14.6614592076617i</v>
      </c>
      <c r="AA488" s="160">
        <f t="shared" si="294"/>
        <v>100.55011180133225</v>
      </c>
      <c r="AB488" s="160">
        <f t="shared" si="295"/>
        <v>-2.9952584929810762</v>
      </c>
      <c r="AC488" s="171" t="str">
        <f t="shared" si="296"/>
        <v>4.18525413402972E-06+5.70357371560669E-06i</v>
      </c>
      <c r="AD488" s="190">
        <f t="shared" si="297"/>
        <v>-103.00621036874547</v>
      </c>
      <c r="AE488" s="169">
        <f t="shared" si="298"/>
        <v>53.728963202063071</v>
      </c>
      <c r="AF488" s="98" t="str">
        <f t="shared" si="284"/>
        <v>-0.0000119284294234592</v>
      </c>
      <c r="AG488" s="98" t="str">
        <f t="shared" si="285"/>
        <v>0.0176416205848255i</v>
      </c>
      <c r="AH488" s="98">
        <f t="shared" si="299"/>
        <v>1.7641620584825501E-2</v>
      </c>
      <c r="AI488" s="98">
        <f t="shared" si="300"/>
        <v>1.5707963267948966</v>
      </c>
      <c r="AJ488" s="98" t="str">
        <f t="shared" si="286"/>
        <v>1+15.23542760381i</v>
      </c>
      <c r="AK488" s="98">
        <f t="shared" si="301"/>
        <v>15.26821057854966</v>
      </c>
      <c r="AL488" s="98">
        <f t="shared" si="302"/>
        <v>1.5052538506018278</v>
      </c>
      <c r="AM488" s="98" t="str">
        <f t="shared" si="287"/>
        <v>1+38796.3238736657i</v>
      </c>
      <c r="AN488" s="98">
        <f t="shared" si="303"/>
        <v>38796.323886553517</v>
      </c>
      <c r="AO488" s="98">
        <f t="shared" si="304"/>
        <v>1.5707705511568997</v>
      </c>
      <c r="AP488" s="168" t="str">
        <f t="shared" si="305"/>
        <v>-0.112483416691384+1.71440910433263i</v>
      </c>
      <c r="AQ488" s="98">
        <f t="shared" si="306"/>
        <v>4.7009444603880297</v>
      </c>
      <c r="AR488" s="169">
        <f t="shared" si="307"/>
        <v>93.753830429428021</v>
      </c>
      <c r="AS488" s="168" t="str">
        <f t="shared" si="308"/>
        <v>-0.0000102490303899858+6.53368033244372E-06i</v>
      </c>
      <c r="AT488" s="190">
        <f t="shared" si="309"/>
        <v>-98.305265908357441</v>
      </c>
      <c r="AU488" s="169">
        <f t="shared" si="310"/>
        <v>147.48279363149109</v>
      </c>
      <c r="AV488" s="225"/>
      <c r="AX488">
        <f t="shared" si="311"/>
        <v>0</v>
      </c>
      <c r="AY488">
        <f t="shared" si="312"/>
        <v>0</v>
      </c>
    </row>
    <row r="489" spans="14:51" x14ac:dyDescent="0.2">
      <c r="N489" s="170">
        <v>71</v>
      </c>
      <c r="O489" s="199">
        <f t="shared" si="313"/>
        <v>512861.38399136515</v>
      </c>
      <c r="P489" s="189" t="str">
        <f t="shared" si="279"/>
        <v>771.276595744681</v>
      </c>
      <c r="Q489" s="160" t="str">
        <f t="shared" si="280"/>
        <v>1+3286851.17476462i</v>
      </c>
      <c r="R489" s="160">
        <f t="shared" si="288"/>
        <v>3286851.1747647719</v>
      </c>
      <c r="S489" s="160">
        <f t="shared" si="289"/>
        <v>1.5707960225523414</v>
      </c>
      <c r="T489" s="160" t="str">
        <f t="shared" si="281"/>
        <v>1+0.773376747003439i</v>
      </c>
      <c r="U489" s="160">
        <f t="shared" si="290"/>
        <v>1.2641643851990221</v>
      </c>
      <c r="V489" s="160">
        <f t="shared" si="291"/>
        <v>0.65829513401160356</v>
      </c>
      <c r="W489" s="98" t="str">
        <f t="shared" si="282"/>
        <v>1-2.19123411650974i</v>
      </c>
      <c r="X489" s="160">
        <f t="shared" si="292"/>
        <v>2.4086317596005045</v>
      </c>
      <c r="Y489" s="160">
        <f t="shared" si="293"/>
        <v>-1.1426628542860189</v>
      </c>
      <c r="Z489" s="98" t="str">
        <f t="shared" si="283"/>
        <v>-104.210719675815-15.0029684638103i</v>
      </c>
      <c r="AA489" s="160">
        <f t="shared" si="294"/>
        <v>105.28515165054083</v>
      </c>
      <c r="AB489" s="160">
        <f t="shared" si="295"/>
        <v>-2.9986075087473285</v>
      </c>
      <c r="AC489" s="171" t="str">
        <f t="shared" si="296"/>
        <v>3.98361748825929E-06+5.49413183361867E-06i</v>
      </c>
      <c r="AD489" s="190">
        <f t="shared" si="297"/>
        <v>-103.36726109314263</v>
      </c>
      <c r="AE489" s="169">
        <f t="shared" si="298"/>
        <v>54.055345995177177</v>
      </c>
      <c r="AF489" s="98" t="str">
        <f t="shared" si="284"/>
        <v>-0.0000119284294234592</v>
      </c>
      <c r="AG489" s="98" t="str">
        <f t="shared" si="285"/>
        <v>0.0180525467169278i</v>
      </c>
      <c r="AH489" s="98">
        <f t="shared" si="299"/>
        <v>1.8052546716927801E-2</v>
      </c>
      <c r="AI489" s="98">
        <f t="shared" si="300"/>
        <v>1.5707963267948966</v>
      </c>
      <c r="AJ489" s="98" t="str">
        <f t="shared" si="286"/>
        <v>1+15.5903063013795i</v>
      </c>
      <c r="AK489" s="98">
        <f t="shared" si="301"/>
        <v>15.622344592628641</v>
      </c>
      <c r="AL489" s="98">
        <f t="shared" si="302"/>
        <v>1.5067416546519252</v>
      </c>
      <c r="AM489" s="98" t="str">
        <f t="shared" si="287"/>
        <v>1+39700.0063461765i</v>
      </c>
      <c r="AN489" s="98">
        <f t="shared" si="303"/>
        <v>39700.006358770959</v>
      </c>
      <c r="AO489" s="98">
        <f t="shared" si="304"/>
        <v>1.5707711378820519</v>
      </c>
      <c r="AP489" s="168" t="str">
        <f t="shared" si="305"/>
        <v>-0.107441572399777+1.67570778480166i</v>
      </c>
      <c r="AQ489" s="98">
        <f t="shared" si="306"/>
        <v>4.5017830200151971</v>
      </c>
      <c r="AR489" s="169">
        <f t="shared" si="307"/>
        <v>93.668619153489942</v>
      </c>
      <c r="AS489" s="168" t="str">
        <f t="shared" si="308"/>
        <v>-9.63456561109925E-06+6.08508067357247E-06i</v>
      </c>
      <c r="AT489" s="190">
        <f t="shared" si="309"/>
        <v>-98.865478073127434</v>
      </c>
      <c r="AU489" s="169">
        <f t="shared" si="310"/>
        <v>147.72396514866711</v>
      </c>
      <c r="AV489" s="225"/>
      <c r="AX489">
        <f t="shared" si="311"/>
        <v>0</v>
      </c>
      <c r="AY489">
        <f t="shared" si="312"/>
        <v>0</v>
      </c>
    </row>
    <row r="490" spans="14:51" x14ac:dyDescent="0.2">
      <c r="N490" s="170">
        <v>72</v>
      </c>
      <c r="O490" s="199">
        <f t="shared" si="313"/>
        <v>524807.46024977288</v>
      </c>
      <c r="P490" s="189" t="str">
        <f t="shared" si="279"/>
        <v>771.276595744681</v>
      </c>
      <c r="Q490" s="160" t="str">
        <f t="shared" si="280"/>
        <v>1+3363411.7738064i</v>
      </c>
      <c r="R490" s="160">
        <f t="shared" si="288"/>
        <v>3363411.7738065487</v>
      </c>
      <c r="S490" s="160">
        <f t="shared" si="289"/>
        <v>1.5707960294777474</v>
      </c>
      <c r="T490" s="160" t="str">
        <f t="shared" si="281"/>
        <v>1+0.791391005601506i</v>
      </c>
      <c r="U490" s="160">
        <f t="shared" si="290"/>
        <v>1.2752645700978926</v>
      </c>
      <c r="V490" s="160">
        <f t="shared" si="291"/>
        <v>0.66946946640683869</v>
      </c>
      <c r="W490" s="98" t="str">
        <f t="shared" si="282"/>
        <v>1-2.24227451587093i</v>
      </c>
      <c r="X490" s="160">
        <f t="shared" si="292"/>
        <v>2.4551568187234425</v>
      </c>
      <c r="Y490" s="160">
        <f t="shared" si="293"/>
        <v>-1.1512940270657219</v>
      </c>
      <c r="Z490" s="98" t="str">
        <f t="shared" si="283"/>
        <v>-109.169148133527-15.3524324924263i</v>
      </c>
      <c r="AA490" s="160">
        <f t="shared" si="294"/>
        <v>110.24336754487533</v>
      </c>
      <c r="AB490" s="160">
        <f t="shared" si="295"/>
        <v>-3.0018790991145474</v>
      </c>
      <c r="AC490" s="171" t="str">
        <f t="shared" si="296"/>
        <v>3.79222043041828E-06+5.29467314195197E-06i</v>
      </c>
      <c r="AD490" s="190">
        <f t="shared" si="297"/>
        <v>-103.72485653674728</v>
      </c>
      <c r="AE490" s="169">
        <f t="shared" si="298"/>
        <v>54.388506231316114</v>
      </c>
      <c r="AF490" s="98" t="str">
        <f t="shared" si="284"/>
        <v>-0.0000119284294234592</v>
      </c>
      <c r="AG490" s="98" t="str">
        <f t="shared" si="285"/>
        <v>0.0184730445482531i</v>
      </c>
      <c r="AH490" s="98">
        <f t="shared" si="299"/>
        <v>1.84730445482531E-2</v>
      </c>
      <c r="AI490" s="98">
        <f t="shared" si="300"/>
        <v>1.5707963267948966</v>
      </c>
      <c r="AJ490" s="98" t="str">
        <f t="shared" si="286"/>
        <v>1+15.9534511857122i</v>
      </c>
      <c r="AK490" s="98">
        <f t="shared" si="301"/>
        <v>15.984761641479112</v>
      </c>
      <c r="AL490" s="98">
        <f t="shared" si="302"/>
        <v>1.5081958665911399</v>
      </c>
      <c r="AM490" s="98" t="str">
        <f t="shared" si="287"/>
        <v>1+40624.738287544i</v>
      </c>
      <c r="AN490" s="98">
        <f t="shared" si="303"/>
        <v>40624.738299851764</v>
      </c>
      <c r="AO490" s="98">
        <f t="shared" si="304"/>
        <v>1.5707717112517092</v>
      </c>
      <c r="AP490" s="168" t="str">
        <f t="shared" si="305"/>
        <v>-0.102624830429525+1.63786594351672i</v>
      </c>
      <c r="AQ490" s="98">
        <f t="shared" si="306"/>
        <v>4.3025839894172009</v>
      </c>
      <c r="AR490" s="169">
        <f t="shared" si="307"/>
        <v>93.585331798516833</v>
      </c>
      <c r="AS490" s="168" t="str">
        <f t="shared" si="308"/>
        <v>-9.06114079987886E-06+5.66778375991784E-06i</v>
      </c>
      <c r="AT490" s="190">
        <f t="shared" si="309"/>
        <v>-99.422272547330067</v>
      </c>
      <c r="AU490" s="169">
        <f t="shared" si="310"/>
        <v>147.97383802983293</v>
      </c>
      <c r="AV490" s="225"/>
      <c r="AX490">
        <f t="shared" si="311"/>
        <v>0</v>
      </c>
      <c r="AY490">
        <f t="shared" si="312"/>
        <v>0</v>
      </c>
    </row>
    <row r="491" spans="14:51" x14ac:dyDescent="0.2">
      <c r="N491" s="170">
        <v>73</v>
      </c>
      <c r="O491" s="199">
        <f t="shared" si="313"/>
        <v>537031.7963702539</v>
      </c>
      <c r="P491" s="189" t="str">
        <f t="shared" si="279"/>
        <v>771.276595744681</v>
      </c>
      <c r="Q491" s="160" t="str">
        <f t="shared" si="280"/>
        <v>1+3441755.69829068i</v>
      </c>
      <c r="R491" s="160">
        <f t="shared" si="288"/>
        <v>3441755.6982908254</v>
      </c>
      <c r="S491" s="160">
        <f t="shared" si="289"/>
        <v>1.570796036245512</v>
      </c>
      <c r="T491" s="160" t="str">
        <f t="shared" si="281"/>
        <v>1+0.809824870186041i</v>
      </c>
      <c r="U491" s="160">
        <f t="shared" si="290"/>
        <v>1.2867852658356942</v>
      </c>
      <c r="V491" s="160">
        <f t="shared" si="291"/>
        <v>0.68070307152464549</v>
      </c>
      <c r="W491" s="98" t="str">
        <f t="shared" si="282"/>
        <v>1-2.29450379886045i</v>
      </c>
      <c r="X491" s="160">
        <f t="shared" si="292"/>
        <v>2.50294779869358</v>
      </c>
      <c r="Y491" s="160">
        <f t="shared" si="293"/>
        <v>-1.1597934269672441</v>
      </c>
      <c r="Z491" s="98" t="str">
        <f t="shared" si="283"/>
        <v>-114.361260125065-15.7100365839632i</v>
      </c>
      <c r="AA491" s="160">
        <f t="shared" si="294"/>
        <v>115.43527652698826</v>
      </c>
      <c r="AB491" s="160">
        <f t="shared" si="295"/>
        <v>-3.0050751048005058</v>
      </c>
      <c r="AC491" s="171" t="str">
        <f t="shared" si="296"/>
        <v>3.61050005600952E-06+5.10463299354305E-06i</v>
      </c>
      <c r="AD491" s="190">
        <f t="shared" si="297"/>
        <v>-104.07901126549507</v>
      </c>
      <c r="AE491" s="169">
        <f t="shared" si="298"/>
        <v>54.728281899872599</v>
      </c>
      <c r="AF491" s="98" t="str">
        <f t="shared" si="284"/>
        <v>-0.0000119284294234592</v>
      </c>
      <c r="AG491" s="98" t="str">
        <f t="shared" si="285"/>
        <v>0.0189033370323177i</v>
      </c>
      <c r="AH491" s="98">
        <f t="shared" si="299"/>
        <v>1.89033370323177E-2</v>
      </c>
      <c r="AI491" s="98">
        <f t="shared" si="300"/>
        <v>1.5707963267948966</v>
      </c>
      <c r="AJ491" s="98" t="str">
        <f t="shared" si="286"/>
        <v>1+16.3250548010324i</v>
      </c>
      <c r="AK491" s="98">
        <f t="shared" si="301"/>
        <v>16.355653892666933</v>
      </c>
      <c r="AL491" s="98">
        <f t="shared" si="302"/>
        <v>1.5096172328458644</v>
      </c>
      <c r="AM491" s="98" t="str">
        <f t="shared" si="287"/>
        <v>1+41571.0100028834i</v>
      </c>
      <c r="AN491" s="98">
        <f t="shared" si="303"/>
        <v>41571.010014911008</v>
      </c>
      <c r="AO491" s="98">
        <f t="shared" si="304"/>
        <v>1.5707722715698795</v>
      </c>
      <c r="AP491" s="168" t="str">
        <f t="shared" si="305"/>
        <v>-0.0980232185578298+1.60086543714715i</v>
      </c>
      <c r="AQ491" s="98">
        <f t="shared" si="306"/>
        <v>4.1033490471818403</v>
      </c>
      <c r="AR491" s="169">
        <f t="shared" si="307"/>
        <v>93.503925614845173</v>
      </c>
      <c r="AS491" s="168" t="str">
        <f t="shared" si="308"/>
        <v>-8.52574336477734E-06+5.27955219489991E-06i</v>
      </c>
      <c r="AT491" s="190">
        <f t="shared" si="309"/>
        <v>-99.975662218313218</v>
      </c>
      <c r="AU491" s="169">
        <f t="shared" si="310"/>
        <v>148.23220751471777</v>
      </c>
      <c r="AV491" s="225"/>
      <c r="AX491">
        <f t="shared" si="311"/>
        <v>0</v>
      </c>
      <c r="AY491">
        <f t="shared" si="312"/>
        <v>0</v>
      </c>
    </row>
    <row r="492" spans="14:51" x14ac:dyDescent="0.2">
      <c r="N492" s="170">
        <v>74</v>
      </c>
      <c r="O492" s="199">
        <f t="shared" si="313"/>
        <v>549540.87385762564</v>
      </c>
      <c r="P492" s="189" t="str">
        <f t="shared" si="279"/>
        <v>771.276595744681</v>
      </c>
      <c r="Q492" s="160" t="str">
        <f t="shared" si="280"/>
        <v>1+3521924.4872032i</v>
      </c>
      <c r="R492" s="160">
        <f t="shared" si="288"/>
        <v>3521924.4872033414</v>
      </c>
      <c r="S492" s="160">
        <f t="shared" si="289"/>
        <v>1.5707960428592236</v>
      </c>
      <c r="T492" s="160" t="str">
        <f t="shared" si="281"/>
        <v>1+0.828688114636046i</v>
      </c>
      <c r="U492" s="160">
        <f t="shared" si="290"/>
        <v>1.2987393854577001</v>
      </c>
      <c r="V492" s="160">
        <f t="shared" si="291"/>
        <v>0.69199056531491732</v>
      </c>
      <c r="W492" s="98" t="str">
        <f t="shared" si="282"/>
        <v>1-2.34794965813546i</v>
      </c>
      <c r="X492" s="160">
        <f t="shared" si="292"/>
        <v>2.5520320525295963</v>
      </c>
      <c r="Y492" s="160">
        <f t="shared" si="293"/>
        <v>-1.1681606474786035</v>
      </c>
      <c r="Z492" s="98" t="str">
        <f t="shared" si="283"/>
        <v>-119.798068816081-16.0759703448438i</v>
      </c>
      <c r="AA492" s="160">
        <f t="shared" si="294"/>
        <v>120.87189133372065</v>
      </c>
      <c r="AB492" s="160">
        <f t="shared" si="295"/>
        <v>-3.0081973195383815</v>
      </c>
      <c r="AC492" s="171" t="str">
        <f t="shared" si="296"/>
        <v>3.43792771948412E-06+4.92348093984935E-06i</v>
      </c>
      <c r="AD492" s="190">
        <f t="shared" si="297"/>
        <v>-104.42974138274998</v>
      </c>
      <c r="AE492" s="169">
        <f t="shared" si="298"/>
        <v>55.074490582055176</v>
      </c>
      <c r="AF492" s="98" t="str">
        <f t="shared" si="284"/>
        <v>-0.0000119284294234592</v>
      </c>
      <c r="AG492" s="98" t="str">
        <f t="shared" si="285"/>
        <v>0.0193436523158919i</v>
      </c>
      <c r="AH492" s="98">
        <f t="shared" si="299"/>
        <v>1.9343652315891899E-2</v>
      </c>
      <c r="AI492" s="98">
        <f t="shared" si="300"/>
        <v>1.5707963267948966</v>
      </c>
      <c r="AJ492" s="98" t="str">
        <f t="shared" si="286"/>
        <v>1+16.7053141764957i</v>
      </c>
      <c r="AK492" s="98">
        <f t="shared" si="301"/>
        <v>16.735218006809124</v>
      </c>
      <c r="AL492" s="98">
        <f t="shared" si="302"/>
        <v>1.5110064840578494</v>
      </c>
      <c r="AM492" s="98" t="str">
        <f t="shared" si="287"/>
        <v>1+42539.3232179837i</v>
      </c>
      <c r="AN492" s="98">
        <f t="shared" si="303"/>
        <v>42539.323229737529</v>
      </c>
      <c r="AO492" s="98">
        <f t="shared" si="304"/>
        <v>1.5707728191336512</v>
      </c>
      <c r="AP492" s="168" t="str">
        <f t="shared" si="305"/>
        <v>-0.093627199509041+1.56468844185713i</v>
      </c>
      <c r="AQ492" s="98">
        <f t="shared" si="306"/>
        <v>3.9040797975078405</v>
      </c>
      <c r="AR492" s="169">
        <f t="shared" si="307"/>
        <v>93.424358756808104</v>
      </c>
      <c r="AS492" s="168" t="str">
        <f t="shared" si="308"/>
        <v>-8.02559726477596E-06+4.91831403438281E-06i</v>
      </c>
      <c r="AT492" s="190">
        <f t="shared" si="309"/>
        <v>-100.52566158524215</v>
      </c>
      <c r="AU492" s="169">
        <f t="shared" si="310"/>
        <v>148.49884933886329</v>
      </c>
      <c r="AV492" s="225"/>
      <c r="AX492">
        <f t="shared" si="311"/>
        <v>0</v>
      </c>
      <c r="AY492">
        <f t="shared" si="312"/>
        <v>0</v>
      </c>
    </row>
    <row r="493" spans="14:51" x14ac:dyDescent="0.2">
      <c r="N493" s="170">
        <v>75</v>
      </c>
      <c r="O493" s="199">
        <f t="shared" si="313"/>
        <v>562341.32519035018</v>
      </c>
      <c r="P493" s="189" t="str">
        <f t="shared" si="279"/>
        <v>771.276595744681</v>
      </c>
      <c r="Q493" s="160" t="str">
        <f t="shared" si="280"/>
        <v>1+3603960.64709703i</v>
      </c>
      <c r="R493" s="160">
        <f t="shared" si="288"/>
        <v>3603960.6470971685</v>
      </c>
      <c r="S493" s="160">
        <f t="shared" si="289"/>
        <v>1.5707960493223885</v>
      </c>
      <c r="T493" s="160" t="str">
        <f t="shared" si="281"/>
        <v>1+0.847990740493418i</v>
      </c>
      <c r="U493" s="160">
        <f t="shared" si="290"/>
        <v>1.3111400748823809</v>
      </c>
      <c r="V493" s="160">
        <f t="shared" si="291"/>
        <v>0.70332642838480819</v>
      </c>
      <c r="W493" s="98" t="str">
        <f t="shared" si="282"/>
        <v>1-2.40264043139801i</v>
      </c>
      <c r="X493" s="160">
        <f t="shared" si="292"/>
        <v>2.6024375194398841</v>
      </c>
      <c r="Y493" s="160">
        <f t="shared" si="293"/>
        <v>-1.1763954376216645</v>
      </c>
      <c r="Z493" s="98" t="str">
        <f t="shared" si="283"/>
        <v>-125.491106406736-16.4504277979919i</v>
      </c>
      <c r="AA493" s="160">
        <f t="shared" si="294"/>
        <v>126.5647437556118</v>
      </c>
      <c r="AB493" s="160">
        <f t="shared" si="295"/>
        <v>-3.0112474914701362</v>
      </c>
      <c r="AC493" s="171" t="str">
        <f t="shared" si="296"/>
        <v>3.27400671452298E-06+4.75071865659968E-06i</v>
      </c>
      <c r="AD493" s="190">
        <f t="shared" si="297"/>
        <v>-104.77706456028758</v>
      </c>
      <c r="AE493" s="169">
        <f t="shared" si="298"/>
        <v>55.426930580891671</v>
      </c>
      <c r="AF493" s="98" t="str">
        <f t="shared" si="284"/>
        <v>-0.0000119284294234592</v>
      </c>
      <c r="AG493" s="98" t="str">
        <f t="shared" si="285"/>
        <v>0.0197942238599676i</v>
      </c>
      <c r="AH493" s="98">
        <f t="shared" si="299"/>
        <v>1.97942238599676E-2</v>
      </c>
      <c r="AI493" s="98">
        <f t="shared" si="300"/>
        <v>1.5707963267948966</v>
      </c>
      <c r="AJ493" s="98" t="str">
        <f t="shared" si="286"/>
        <v>1+17.0944309306564i</v>
      </c>
      <c r="AK493" s="98">
        <f t="shared" si="301"/>
        <v>17.123655241886361</v>
      </c>
      <c r="AL493" s="98">
        <f t="shared" si="302"/>
        <v>1.5123643353641123</v>
      </c>
      <c r="AM493" s="98" t="str">
        <f t="shared" si="287"/>
        <v>1+43530.1913453288i</v>
      </c>
      <c r="AN493" s="98">
        <f t="shared" si="303"/>
        <v>43530.191356815078</v>
      </c>
      <c r="AO493" s="98">
        <f t="shared" si="304"/>
        <v>1.5707733542333497</v>
      </c>
      <c r="AP493" s="168" t="str">
        <f t="shared" si="305"/>
        <v>-0.0894276525846997+1.52931745212973i</v>
      </c>
      <c r="AQ493" s="98">
        <f t="shared" si="306"/>
        <v>3.704777773450743</v>
      </c>
      <c r="AR493" s="169">
        <f t="shared" si="307"/>
        <v>93.34659026670731</v>
      </c>
      <c r="AS493" s="168" t="str">
        <f t="shared" si="308"/>
        <v>-7.55814368672253E-06+4.58214998935986E-06i</v>
      </c>
      <c r="AT493" s="190">
        <f t="shared" si="309"/>
        <v>-101.07228678683684</v>
      </c>
      <c r="AU493" s="169">
        <f t="shared" si="310"/>
        <v>148.773520847599</v>
      </c>
      <c r="AV493" s="225"/>
      <c r="AX493">
        <f t="shared" si="311"/>
        <v>0</v>
      </c>
      <c r="AY493">
        <f t="shared" si="312"/>
        <v>0</v>
      </c>
    </row>
    <row r="494" spans="14:51" x14ac:dyDescent="0.2">
      <c r="N494" s="170">
        <v>76</v>
      </c>
      <c r="O494" s="199">
        <f t="shared" si="313"/>
        <v>575439.93733715697</v>
      </c>
      <c r="P494" s="189" t="str">
        <f t="shared" si="279"/>
        <v>771.276595744681</v>
      </c>
      <c r="Q494" s="160" t="str">
        <f t="shared" si="280"/>
        <v>1+3687907.67462999i</v>
      </c>
      <c r="R494" s="160">
        <f t="shared" si="288"/>
        <v>3687907.6746301251</v>
      </c>
      <c r="S494" s="160">
        <f t="shared" si="289"/>
        <v>1.5707960556384339</v>
      </c>
      <c r="T494" s="160" t="str">
        <f t="shared" si="281"/>
        <v>1+0.86774298226588i</v>
      </c>
      <c r="U494" s="160">
        <f t="shared" si="290"/>
        <v>1.3240007112051275</v>
      </c>
      <c r="V494" s="160">
        <f t="shared" si="291"/>
        <v>0.71470501852319523</v>
      </c>
      <c r="W494" s="98" t="str">
        <f t="shared" si="282"/>
        <v>1-2.45860511641999i</v>
      </c>
      <c r="X494" s="160">
        <f t="shared" si="292"/>
        <v>2.6541927432811945</v>
      </c>
      <c r="Y494" s="160">
        <f t="shared" si="293"/>
        <v>-1.1844976952147146</v>
      </c>
      <c r="Z494" s="98" t="str">
        <f t="shared" si="283"/>
        <v>-131.452448593037-16.8336074857056i</v>
      </c>
      <c r="AA494" s="160">
        <f t="shared" si="294"/>
        <v>132.52590909738305</v>
      </c>
      <c r="AB494" s="160">
        <f t="shared" si="295"/>
        <v>-3.0142273244882545</v>
      </c>
      <c r="AC494" s="171" t="str">
        <f t="shared" si="296"/>
        <v>3.11827012615289E-06+4.58587798905606E-06i</v>
      </c>
      <c r="AD494" s="190">
        <f t="shared" si="297"/>
        <v>-105.12100006749642</v>
      </c>
      <c r="AE494" s="169">
        <f t="shared" si="298"/>
        <v>55.785382101729894</v>
      </c>
      <c r="AF494" s="98" t="str">
        <f t="shared" si="284"/>
        <v>-0.0000119284294234592</v>
      </c>
      <c r="AG494" s="98" t="str">
        <f t="shared" si="285"/>
        <v>0.0202552905635413i</v>
      </c>
      <c r="AH494" s="98">
        <f t="shared" si="299"/>
        <v>2.0255290563541299E-2</v>
      </c>
      <c r="AI494" s="98">
        <f t="shared" si="300"/>
        <v>1.5707963267948966</v>
      </c>
      <c r="AJ494" s="98" t="str">
        <f t="shared" si="286"/>
        <v>1+17.492611378368i</v>
      </c>
      <c r="AK494" s="98">
        <f t="shared" si="301"/>
        <v>17.521171559990204</v>
      </c>
      <c r="AL494" s="98">
        <f t="shared" si="302"/>
        <v>1.513691486675649</v>
      </c>
      <c r="AM494" s="98" t="str">
        <f t="shared" si="287"/>
        <v>1+44544.1397563152i</v>
      </c>
      <c r="AN494" s="98">
        <f t="shared" si="303"/>
        <v>44544.139767540015</v>
      </c>
      <c r="AO494" s="98">
        <f t="shared" si="304"/>
        <v>1.5707738771526922</v>
      </c>
      <c r="AP494" s="168" t="str">
        <f t="shared" si="305"/>
        <v>-0.0854158560162017+1.49473527922662i</v>
      </c>
      <c r="AQ494" s="98">
        <f t="shared" si="306"/>
        <v>3.5054444400335742</v>
      </c>
      <c r="AR494" s="169">
        <f t="shared" si="307"/>
        <v>93.270580058852332</v>
      </c>
      <c r="AS494" s="168" t="str">
        <f t="shared" si="308"/>
        <v>-7.12102332858602E-06+4.26928167369809E-06i</v>
      </c>
      <c r="AT494" s="190">
        <f t="shared" si="309"/>
        <v>-101.61555562746285</v>
      </c>
      <c r="AU494" s="169">
        <f t="shared" si="310"/>
        <v>149.0559621605822</v>
      </c>
      <c r="AV494" s="225"/>
      <c r="AX494">
        <f t="shared" si="311"/>
        <v>0</v>
      </c>
      <c r="AY494">
        <f t="shared" si="312"/>
        <v>0</v>
      </c>
    </row>
    <row r="495" spans="14:51" x14ac:dyDescent="0.2">
      <c r="N495" s="170">
        <v>77</v>
      </c>
      <c r="O495" s="199">
        <f t="shared" si="313"/>
        <v>588843.65535558888</v>
      </c>
      <c r="P495" s="189" t="str">
        <f t="shared" si="279"/>
        <v>771.276595744681</v>
      </c>
      <c r="Q495" s="160" t="str">
        <f t="shared" si="280"/>
        <v>1+3773810.07962728i</v>
      </c>
      <c r="R495" s="160">
        <f t="shared" si="288"/>
        <v>3773810.0796274124</v>
      </c>
      <c r="S495" s="160">
        <f t="shared" si="289"/>
        <v>1.5707960618107084</v>
      </c>
      <c r="T495" s="160" t="str">
        <f t="shared" si="281"/>
        <v>1+0.887955312853478i</v>
      </c>
      <c r="U495" s="160">
        <f t="shared" si="290"/>
        <v>1.3373349010717988</v>
      </c>
      <c r="V495" s="160">
        <f t="shared" si="291"/>
        <v>0.72612058397017543</v>
      </c>
      <c r="W495" s="98" t="str">
        <f t="shared" si="282"/>
        <v>1-2.51587338641819i</v>
      </c>
      <c r="X495" s="160">
        <f t="shared" si="292"/>
        <v>2.7073268913242319</v>
      </c>
      <c r="Y495" s="160">
        <f t="shared" si="293"/>
        <v>-1.1924674600509804</v>
      </c>
      <c r="Z495" s="98" t="str">
        <f t="shared" si="283"/>
        <v>-137.694740181013-17.2257125749274i</v>
      </c>
      <c r="AA495" s="160">
        <f t="shared" si="294"/>
        <v>138.76803179129797</v>
      </c>
      <c r="AB495" s="160">
        <f t="shared" si="295"/>
        <v>-3.0171384795281835</v>
      </c>
      <c r="AC495" s="171" t="str">
        <f t="shared" si="296"/>
        <v>2.97027884116871E-06+4.42851911080849E-06i</v>
      </c>
      <c r="AD495" s="190">
        <f t="shared" si="297"/>
        <v>-105.46156879800635</v>
      </c>
      <c r="AE495" s="169">
        <f t="shared" si="298"/>
        <v>56.149608477418312</v>
      </c>
      <c r="AF495" s="98" t="str">
        <f t="shared" si="284"/>
        <v>-0.0000119284294234592</v>
      </c>
      <c r="AG495" s="98" t="str">
        <f t="shared" si="285"/>
        <v>0.0207270968902823i</v>
      </c>
      <c r="AH495" s="98">
        <f t="shared" si="299"/>
        <v>2.07270968902823E-2</v>
      </c>
      <c r="AI495" s="98">
        <f t="shared" si="300"/>
        <v>1.5707963267948966</v>
      </c>
      <c r="AJ495" s="98" t="str">
        <f t="shared" si="286"/>
        <v>1+17.9000666401746i</v>
      </c>
      <c r="AK495" s="98">
        <f t="shared" si="301"/>
        <v>17.927977736562806</v>
      </c>
      <c r="AL495" s="98">
        <f t="shared" si="302"/>
        <v>1.5149886229546567</v>
      </c>
      <c r="AM495" s="98" t="str">
        <f t="shared" si="287"/>
        <v>1+45581.7060598119i</v>
      </c>
      <c r="AN495" s="98">
        <f t="shared" si="303"/>
        <v>45581.706070781205</v>
      </c>
      <c r="AO495" s="98">
        <f t="shared" si="304"/>
        <v>1.5707743881689371</v>
      </c>
      <c r="AP495" s="168" t="str">
        <f t="shared" si="305"/>
        <v>-0.0815834700164587+1.46092504931547i</v>
      </c>
      <c r="AQ495" s="98">
        <f t="shared" si="306"/>
        <v>3.3060811972235253</v>
      </c>
      <c r="AR495" s="169">
        <f t="shared" si="307"/>
        <v>93.196288903685996</v>
      </c>
      <c r="AS495" s="168" t="str">
        <f t="shared" si="308"/>
        <v>-0.0000067120601551314+3.97806080642114E-06i</v>
      </c>
      <c r="AT495" s="190">
        <f t="shared" si="309"/>
        <v>-102.15548760078283</v>
      </c>
      <c r="AU495" s="169">
        <f t="shared" si="310"/>
        <v>149.34589738110427</v>
      </c>
      <c r="AV495" s="225"/>
      <c r="AX495">
        <f t="shared" si="311"/>
        <v>0</v>
      </c>
      <c r="AY495">
        <f t="shared" si="312"/>
        <v>0</v>
      </c>
    </row>
    <row r="496" spans="14:51" x14ac:dyDescent="0.2">
      <c r="N496" s="170">
        <v>78</v>
      </c>
      <c r="O496" s="199">
        <f t="shared" si="313"/>
        <v>602559.58607435878</v>
      </c>
      <c r="P496" s="189" t="str">
        <f t="shared" si="279"/>
        <v>771.276595744681</v>
      </c>
      <c r="Q496" s="160" t="str">
        <f t="shared" si="280"/>
        <v>1+3861713.40868107i</v>
      </c>
      <c r="R496" s="160">
        <f t="shared" si="288"/>
        <v>3861713.4086811994</v>
      </c>
      <c r="S496" s="160">
        <f t="shared" si="289"/>
        <v>1.570796067842485</v>
      </c>
      <c r="T496" s="160" t="str">
        <f t="shared" si="281"/>
        <v>1+0.908638449101428i</v>
      </c>
      <c r="U496" s="160">
        <f t="shared" si="290"/>
        <v>1.3511564791634787</v>
      </c>
      <c r="V496" s="160">
        <f t="shared" si="291"/>
        <v>0.73756727736072236</v>
      </c>
      <c r="W496" s="98" t="str">
        <f t="shared" si="282"/>
        <v>1-2.57447560578738i</v>
      </c>
      <c r="X496" s="160">
        <f t="shared" si="292"/>
        <v>2.7618697733228292</v>
      </c>
      <c r="Y496" s="160">
        <f t="shared" si="293"/>
        <v>-1.2003049070314773</v>
      </c>
      <c r="Z496" s="98" t="str">
        <f t="shared" si="283"/>
        <v>-144.231221908041-17.6269509649657i</v>
      </c>
      <c r="AA496" s="160">
        <f t="shared" si="294"/>
        <v>145.30435221770844</v>
      </c>
      <c r="AB496" s="160">
        <f t="shared" si="295"/>
        <v>-3.0199825758136565</v>
      </c>
      <c r="AC496" s="171" t="str">
        <f t="shared" si="296"/>
        <v>2.82961970443392E-06+4.27822879030474E-06i</v>
      </c>
      <c r="AD496" s="190">
        <f t="shared" si="297"/>
        <v>-105.79879329298075</v>
      </c>
      <c r="AE496" s="169">
        <f t="shared" si="298"/>
        <v>56.519357432027981</v>
      </c>
      <c r="AF496" s="98" t="str">
        <f t="shared" si="284"/>
        <v>-0.0000119284294234592</v>
      </c>
      <c r="AG496" s="98" t="str">
        <f t="shared" si="285"/>
        <v>0.0212098929981501i</v>
      </c>
      <c r="AH496" s="98">
        <f t="shared" si="299"/>
        <v>2.1209892998150098E-2</v>
      </c>
      <c r="AI496" s="98">
        <f t="shared" si="300"/>
        <v>1.5707963267948966</v>
      </c>
      <c r="AJ496" s="98" t="str">
        <f t="shared" si="286"/>
        <v>1+18.3170127542491i</v>
      </c>
      <c r="AK496" s="98">
        <f t="shared" si="301"/>
        <v>18.344289472185181</v>
      </c>
      <c r="AL496" s="98">
        <f t="shared" si="302"/>
        <v>1.5162564144899719</v>
      </c>
      <c r="AM496" s="98" t="str">
        <f t="shared" si="287"/>
        <v>1+46643.4403872067i</v>
      </c>
      <c r="AN496" s="98">
        <f t="shared" si="303"/>
        <v>46643.440397926308</v>
      </c>
      <c r="AO496" s="98">
        <f t="shared" si="304"/>
        <v>1.5707748875530323</v>
      </c>
      <c r="AP496" s="168" t="str">
        <f t="shared" si="305"/>
        <v>-0.0779225205072845+1.4278702012963i</v>
      </c>
      <c r="AQ496" s="98">
        <f t="shared" si="306"/>
        <v>3.1066893827838054</v>
      </c>
      <c r="AR496" s="169">
        <f t="shared" si="307"/>
        <v>93.123678412011017</v>
      </c>
      <c r="AS496" s="168" t="str">
        <f t="shared" si="308"/>
        <v>-6.32924650345062E-06+3.70695928631466E-06i</v>
      </c>
      <c r="AT496" s="190">
        <f t="shared" si="309"/>
        <v>-102.69210391019696</v>
      </c>
      <c r="AU496" s="169">
        <f t="shared" si="310"/>
        <v>149.64303584403899</v>
      </c>
      <c r="AV496" s="225"/>
      <c r="AX496">
        <f t="shared" si="311"/>
        <v>0</v>
      </c>
      <c r="AY496">
        <f t="shared" si="312"/>
        <v>0</v>
      </c>
    </row>
    <row r="497" spans="14:51" x14ac:dyDescent="0.2">
      <c r="N497" s="170">
        <v>79</v>
      </c>
      <c r="O497" s="199">
        <f t="shared" si="313"/>
        <v>616595.00186148309</v>
      </c>
      <c r="P497" s="189" t="str">
        <f t="shared" si="279"/>
        <v>771.276595744681</v>
      </c>
      <c r="Q497" s="160" t="str">
        <f t="shared" si="280"/>
        <v>1+3951664.26929997i</v>
      </c>
      <c r="R497" s="160">
        <f t="shared" si="288"/>
        <v>3951664.2693000962</v>
      </c>
      <c r="S497" s="160">
        <f t="shared" si="289"/>
        <v>1.5707960737369615</v>
      </c>
      <c r="T497" s="160" t="str">
        <f t="shared" si="281"/>
        <v>1+0.929803357482345i</v>
      </c>
      <c r="U497" s="160">
        <f t="shared" si="290"/>
        <v>1.3654795068346655</v>
      </c>
      <c r="V497" s="160">
        <f t="shared" si="291"/>
        <v>0.74903917026414535</v>
      </c>
      <c r="W497" s="98" t="str">
        <f t="shared" si="282"/>
        <v>1-2.63444284619997i</v>
      </c>
      <c r="X497" s="160">
        <f t="shared" si="292"/>
        <v>2.8178518608852023</v>
      </c>
      <c r="Y497" s="160">
        <f t="shared" si="293"/>
        <v>-1.2080103392877688</v>
      </c>
      <c r="Z497" s="98" t="str">
        <f t="shared" si="283"/>
        <v>-151.075758528225-18.0375353977258i</v>
      </c>
      <c r="AA497" s="160">
        <f t="shared" si="294"/>
        <v>152.14873478968784</v>
      </c>
      <c r="AB497" s="160">
        <f t="shared" si="295"/>
        <v>-3.0227611920570192</v>
      </c>
      <c r="AC497" s="171" t="str">
        <f t="shared" si="296"/>
        <v>2.69590380963971E-06+0.0000041346187595091i</v>
      </c>
      <c r="AD497" s="190">
        <f t="shared" si="297"/>
        <v>-106.13269776035294</v>
      </c>
      <c r="AE497" s="169">
        <f t="shared" si="298"/>
        <v>56.89436237671346</v>
      </c>
      <c r="AF497" s="98" t="str">
        <f t="shared" si="284"/>
        <v>-0.0000119284294234592</v>
      </c>
      <c r="AG497" s="98" t="str">
        <f t="shared" si="285"/>
        <v>0.0217039348720316i</v>
      </c>
      <c r="AH497" s="98">
        <f t="shared" si="299"/>
        <v>2.1703934872031601E-2</v>
      </c>
      <c r="AI497" s="98">
        <f t="shared" si="300"/>
        <v>1.5707963267948966</v>
      </c>
      <c r="AJ497" s="98" t="str">
        <f t="shared" si="286"/>
        <v>1+18.7436707909404i</v>
      </c>
      <c r="AK497" s="98">
        <f t="shared" si="301"/>
        <v>18.770327506976329</v>
      </c>
      <c r="AL497" s="98">
        <f t="shared" si="302"/>
        <v>1.5174955171704911</v>
      </c>
      <c r="AM497" s="98" t="str">
        <f t="shared" si="287"/>
        <v>1+47729.9056840937i</v>
      </c>
      <c r="AN497" s="98">
        <f t="shared" si="303"/>
        <v>47729.905694569308</v>
      </c>
      <c r="AO497" s="98">
        <f t="shared" si="304"/>
        <v>1.5707753755697575</v>
      </c>
      <c r="AP497" s="168" t="str">
        <f t="shared" si="305"/>
        <v>-0.0744253834995478+1.39555448435466i</v>
      </c>
      <c r="AQ497" s="98">
        <f t="shared" si="306"/>
        <v>2.9072702750020945</v>
      </c>
      <c r="AR497" s="169">
        <f t="shared" si="307"/>
        <v>93.052711019332619</v>
      </c>
      <c r="AS497" s="168" t="str">
        <f t="shared" si="308"/>
        <v>-5.97072942584015E-06+3.45456006413062E-06i</v>
      </c>
      <c r="AT497" s="190">
        <f t="shared" si="309"/>
        <v>-103.22542748535085</v>
      </c>
      <c r="AU497" s="169">
        <f t="shared" si="310"/>
        <v>149.94707339604608</v>
      </c>
      <c r="AV497" s="225"/>
      <c r="AX497">
        <f t="shared" si="311"/>
        <v>0</v>
      </c>
      <c r="AY497">
        <f t="shared" si="312"/>
        <v>0</v>
      </c>
    </row>
    <row r="498" spans="14:51" x14ac:dyDescent="0.2">
      <c r="N498" s="170">
        <v>80</v>
      </c>
      <c r="O498" s="199">
        <f t="shared" si="313"/>
        <v>630957.34448019415</v>
      </c>
      <c r="P498" s="189" t="str">
        <f t="shared" si="279"/>
        <v>771.276595744681</v>
      </c>
      <c r="Q498" s="160" t="str">
        <f t="shared" si="280"/>
        <v>1+4043710.3546209i</v>
      </c>
      <c r="R498" s="160">
        <f t="shared" si="288"/>
        <v>4043710.3546210229</v>
      </c>
      <c r="S498" s="160">
        <f t="shared" si="289"/>
        <v>1.5707960794972635</v>
      </c>
      <c r="T498" s="160" t="str">
        <f t="shared" si="281"/>
        <v>1+0.951461259910799i</v>
      </c>
      <c r="U498" s="160">
        <f t="shared" si="290"/>
        <v>1.3803182709473367</v>
      </c>
      <c r="V498" s="160">
        <f t="shared" si="291"/>
        <v>0.76053026823408421</v>
      </c>
      <c r="W498" s="98" t="str">
        <f t="shared" si="282"/>
        <v>1-2.6958069030806i</v>
      </c>
      <c r="X498" s="160">
        <f t="shared" si="292"/>
        <v>2.8753043071468127</v>
      </c>
      <c r="Y498" s="160">
        <f t="shared" si="293"/>
        <v>-1.2155841813272068</v>
      </c>
      <c r="Z498" s="98" t="str">
        <f t="shared" si="283"/>
        <v>-158.242868221399-18.4576835705089i</v>
      </c>
      <c r="AA498" s="160">
        <f t="shared" si="294"/>
        <v>159.31569736132118</v>
      </c>
      <c r="AB498" s="160">
        <f t="shared" si="295"/>
        <v>-3.0254758676165565</v>
      </c>
      <c r="AC498" s="171" t="str">
        <f t="shared" si="296"/>
        <v>0.0000025687649140303+3.99732417928403E-06i</v>
      </c>
      <c r="AD498" s="190">
        <f t="shared" si="297"/>
        <v>-106.46330808934061</v>
      </c>
      <c r="AE498" s="169">
        <f t="shared" si="298"/>
        <v>57.274343731071454</v>
      </c>
      <c r="AF498" s="98" t="str">
        <f t="shared" si="284"/>
        <v>-0.0000119284294234592</v>
      </c>
      <c r="AG498" s="98" t="str">
        <f t="shared" si="285"/>
        <v>0.0222094844594679i</v>
      </c>
      <c r="AH498" s="98">
        <f t="shared" si="299"/>
        <v>2.2209484459467899E-2</v>
      </c>
      <c r="AI498" s="98">
        <f t="shared" si="300"/>
        <v>1.5707963267948966</v>
      </c>
      <c r="AJ498" s="98" t="str">
        <f t="shared" si="286"/>
        <v>1+19.1802669699867i</v>
      </c>
      <c r="AK498" s="98">
        <f t="shared" si="301"/>
        <v>19.206317737660253</v>
      </c>
      <c r="AL498" s="98">
        <f t="shared" si="302"/>
        <v>1.518706572756326</v>
      </c>
      <c r="AM498" s="98" t="str">
        <f t="shared" si="287"/>
        <v>1+48841.6780087544i</v>
      </c>
      <c r="AN498" s="98">
        <f t="shared" si="303"/>
        <v>48841.678018991559</v>
      </c>
      <c r="AO498" s="98">
        <f t="shared" si="304"/>
        <v>1.5707758524778659</v>
      </c>
      <c r="AP498" s="168" t="str">
        <f t="shared" si="305"/>
        <v>-0.0710847701035757+1.36396195526878i</v>
      </c>
      <c r="AQ498" s="98">
        <f t="shared" si="306"/>
        <v>2.7078250953040337</v>
      </c>
      <c r="AR498" s="169">
        <f t="shared" si="307"/>
        <v>92.983349970330337</v>
      </c>
      <c r="AS498" s="168" t="str">
        <f t="shared" si="308"/>
        <v>-5.63479816678339E-06+3.21954874445274E-06i</v>
      </c>
      <c r="AT498" s="190">
        <f t="shared" si="309"/>
        <v>-103.7554829940366</v>
      </c>
      <c r="AU498" s="169">
        <f t="shared" si="310"/>
        <v>150.25769370140176</v>
      </c>
      <c r="AV498" s="225"/>
      <c r="AX498">
        <f t="shared" si="311"/>
        <v>0</v>
      </c>
      <c r="AY498">
        <f t="shared" si="312"/>
        <v>0</v>
      </c>
    </row>
    <row r="499" spans="14:51" x14ac:dyDescent="0.2">
      <c r="N499" s="170">
        <v>81</v>
      </c>
      <c r="O499" s="199">
        <f t="shared" si="313"/>
        <v>645654.22903465747</v>
      </c>
      <c r="P499" s="189" t="str">
        <f t="shared" si="279"/>
        <v>771.276595744681</v>
      </c>
      <c r="Q499" s="160" t="str">
        <f t="shared" si="280"/>
        <v>1+4137900.4686967i</v>
      </c>
      <c r="R499" s="160">
        <f t="shared" si="288"/>
        <v>4137900.4686968201</v>
      </c>
      <c r="S499" s="160">
        <f t="shared" si="289"/>
        <v>1.5707960851264449</v>
      </c>
      <c r="T499" s="160" t="str">
        <f t="shared" si="281"/>
        <v>1+0.97362363969334i</v>
      </c>
      <c r="U499" s="160">
        <f t="shared" si="290"/>
        <v>1.3956872829433198</v>
      </c>
      <c r="V499" s="160">
        <f t="shared" si="291"/>
        <v>0.77203452627791347</v>
      </c>
      <c r="W499" s="98" t="str">
        <f t="shared" si="282"/>
        <v>1-2.75860031246446i</v>
      </c>
      <c r="X499" s="160">
        <f t="shared" si="292"/>
        <v>2.9342589667459507</v>
      </c>
      <c r="Y499" s="160">
        <f t="shared" si="293"/>
        <v>-1.2230269722303444</v>
      </c>
      <c r="Z499" s="98" t="str">
        <f t="shared" si="283"/>
        <v>-165.747753388135-18.8876182514374i</v>
      </c>
      <c r="AA499" s="160">
        <f t="shared" si="294"/>
        <v>166.82044202203173</v>
      </c>
      <c r="AB499" s="160">
        <f t="shared" si="295"/>
        <v>-3.0281281036127368</v>
      </c>
      <c r="AC499" s="171" t="str">
        <f t="shared" si="296"/>
        <v>2.44785796745231E-06+3.86600219629633E-06i</v>
      </c>
      <c r="AD499" s="190">
        <f t="shared" si="297"/>
        <v>-106.79065185963431</v>
      </c>
      <c r="AE499" s="169">
        <f t="shared" si="298"/>
        <v>57.659010263189593</v>
      </c>
      <c r="AF499" s="98" t="str">
        <f t="shared" si="284"/>
        <v>-0.0000119284294234592</v>
      </c>
      <c r="AG499" s="98" t="str">
        <f t="shared" si="285"/>
        <v>0.0227268098095418i</v>
      </c>
      <c r="AH499" s="98">
        <f t="shared" si="299"/>
        <v>2.2726809809541799E-2</v>
      </c>
      <c r="AI499" s="98">
        <f t="shared" si="300"/>
        <v>1.5707963267948966</v>
      </c>
      <c r="AJ499" s="98" t="str">
        <f t="shared" si="286"/>
        <v>1+19.6270327804615i</v>
      </c>
      <c r="AK499" s="98">
        <f t="shared" si="301"/>
        <v>19.652491337367646</v>
      </c>
      <c r="AL499" s="98">
        <f t="shared" si="302"/>
        <v>1.5198902091475086</v>
      </c>
      <c r="AM499" s="98" t="str">
        <f t="shared" si="287"/>
        <v>1+49979.3468375915i</v>
      </c>
      <c r="AN499" s="98">
        <f t="shared" si="303"/>
        <v>49979.346847595632</v>
      </c>
      <c r="AO499" s="98">
        <f t="shared" si="304"/>
        <v>1.5707763185302206</v>
      </c>
      <c r="AP499" s="168" t="str">
        <f t="shared" si="305"/>
        <v>-0.0678937121476758+1.33307697549486i</v>
      </c>
      <c r="AQ499" s="98">
        <f t="shared" si="306"/>
        <v>2.5083550107531885</v>
      </c>
      <c r="AR499" s="169">
        <f t="shared" si="307"/>
        <v>92.915559303470459</v>
      </c>
      <c r="AS499" s="168" t="str">
        <f t="shared" si="308"/>
        <v>-0.0000053198726793158+0.0000030007058554147i</v>
      </c>
      <c r="AT499" s="190">
        <f t="shared" si="309"/>
        <v>-104.2822968488811</v>
      </c>
      <c r="AU499" s="169">
        <f t="shared" si="310"/>
        <v>150.57456956666002</v>
      </c>
      <c r="AV499" s="225"/>
      <c r="AX499">
        <f t="shared" si="311"/>
        <v>0</v>
      </c>
      <c r="AY499">
        <f t="shared" si="312"/>
        <v>0</v>
      </c>
    </row>
    <row r="500" spans="14:51" x14ac:dyDescent="0.2">
      <c r="N500" s="170">
        <v>82</v>
      </c>
      <c r="O500" s="199">
        <f t="shared" si="313"/>
        <v>660693.44800759677</v>
      </c>
      <c r="P500" s="189" t="str">
        <f t="shared" si="279"/>
        <v>771.276595744681</v>
      </c>
      <c r="Q500" s="160" t="str">
        <f t="shared" si="280"/>
        <v>1+4234284.55237257i</v>
      </c>
      <c r="R500" s="160">
        <f t="shared" si="288"/>
        <v>4234284.5523726875</v>
      </c>
      <c r="S500" s="160">
        <f t="shared" si="289"/>
        <v>1.5707960906274905</v>
      </c>
      <c r="T500" s="160" t="str">
        <f t="shared" si="281"/>
        <v>1+0.996302247617075i</v>
      </c>
      <c r="U500" s="160">
        <f t="shared" si="290"/>
        <v>1.4116012781967986</v>
      </c>
      <c r="V500" s="160">
        <f t="shared" si="291"/>
        <v>0.78354586464943621</v>
      </c>
      <c r="W500" s="98" t="str">
        <f t="shared" si="282"/>
        <v>1-2.82285636824838i</v>
      </c>
      <c r="X500" s="160">
        <f t="shared" si="292"/>
        <v>2.9947484161045037</v>
      </c>
      <c r="Y500" s="160">
        <f t="shared" si="293"/>
        <v>-1.2303393589273179</v>
      </c>
      <c r="Z500" s="98" t="str">
        <f t="shared" si="283"/>
        <v>-173.606332896067-19.3275673975699i</v>
      </c>
      <c r="AA500" s="160">
        <f t="shared" si="294"/>
        <v>174.67888734225335</v>
      </c>
      <c r="AB500" s="160">
        <f t="shared" si="295"/>
        <v>-3.0307193640051682</v>
      </c>
      <c r="AC500" s="171" t="str">
        <f t="shared" si="296"/>
        <v>0.0000023328577468681+3.74033058645868E-06i</v>
      </c>
      <c r="AD500" s="190">
        <f t="shared" si="297"/>
        <v>-107.11475834472756</v>
      </c>
      <c r="AE500" s="169">
        <f t="shared" si="298"/>
        <v>58.048060441439695</v>
      </c>
      <c r="AF500" s="98" t="str">
        <f t="shared" si="284"/>
        <v>-0.0000119284294234592</v>
      </c>
      <c r="AG500" s="98" t="str">
        <f t="shared" si="285"/>
        <v>0.0232561852150016i</v>
      </c>
      <c r="AH500" s="98">
        <f t="shared" si="299"/>
        <v>2.3256185215001599E-2</v>
      </c>
      <c r="AI500" s="98">
        <f t="shared" si="300"/>
        <v>1.5707963267948966</v>
      </c>
      <c r="AJ500" s="98" t="str">
        <f t="shared" si="286"/>
        <v>1+20.0842051035108i</v>
      </c>
      <c r="AK500" s="98">
        <f t="shared" si="301"/>
        <v>20.109084878230767</v>
      </c>
      <c r="AL500" s="98">
        <f t="shared" si="302"/>
        <v>1.5210470406500405</v>
      </c>
      <c r="AM500" s="98" t="str">
        <f t="shared" si="287"/>
        <v>1+51143.5153776765i</v>
      </c>
      <c r="AN500" s="98">
        <f t="shared" si="303"/>
        <v>51143.515387452913</v>
      </c>
      <c r="AO500" s="98">
        <f t="shared" si="304"/>
        <v>1.5707767739739282</v>
      </c>
      <c r="AP500" s="168" t="str">
        <f t="shared" si="305"/>
        <v>-0.06484554838316+1.30288420805394i</v>
      </c>
      <c r="AQ500" s="98">
        <f t="shared" si="306"/>
        <v>2.3088611364448774</v>
      </c>
      <c r="AR500" s="169">
        <f t="shared" si="307"/>
        <v>92.849303835769845</v>
      </c>
      <c r="AS500" s="168" t="str">
        <f t="shared" si="308"/>
        <v>-5.02449309389371E-06+2.79689973001752E-06i</v>
      </c>
      <c r="AT500" s="190">
        <f t="shared" si="309"/>
        <v>-104.80589720828269</v>
      </c>
      <c r="AU500" s="169">
        <f t="shared" si="310"/>
        <v>150.89736427720956</v>
      </c>
      <c r="AV500" s="225"/>
      <c r="AX500">
        <f t="shared" si="311"/>
        <v>0</v>
      </c>
      <c r="AY500">
        <f t="shared" si="312"/>
        <v>0</v>
      </c>
    </row>
    <row r="501" spans="14:51" x14ac:dyDescent="0.2">
      <c r="N501" s="170">
        <v>83</v>
      </c>
      <c r="O501" s="199">
        <f t="shared" si="313"/>
        <v>676082.97539198259</v>
      </c>
      <c r="P501" s="189" t="str">
        <f t="shared" si="279"/>
        <v>771.276595744681</v>
      </c>
      <c r="Q501" s="160" t="str">
        <f t="shared" si="280"/>
        <v>1+4332913.7097655i</v>
      </c>
      <c r="R501" s="160">
        <f t="shared" si="288"/>
        <v>4332913.7097656159</v>
      </c>
      <c r="S501" s="160">
        <f t="shared" si="289"/>
        <v>1.5707960960033169</v>
      </c>
      <c r="T501" s="160" t="str">
        <f t="shared" si="281"/>
        <v>1+1.01950910818012i</v>
      </c>
      <c r="U501" s="160">
        <f t="shared" si="290"/>
        <v>1.4280752156879637</v>
      </c>
      <c r="V501" s="160">
        <f t="shared" si="291"/>
        <v>0.79505818486499991</v>
      </c>
      <c r="W501" s="98" t="str">
        <f t="shared" si="282"/>
        <v>1-2.88860913984366i</v>
      </c>
      <c r="X501" s="160">
        <f t="shared" si="292"/>
        <v>3.0568059740173772</v>
      </c>
      <c r="Y501" s="160">
        <f t="shared" si="293"/>
        <v>-1.2375220895771308</v>
      </c>
      <c r="Z501" s="98" t="str">
        <f t="shared" si="283"/>
        <v>-181.835275845951-19.7777642757673i</v>
      </c>
      <c r="AA501" s="160">
        <f t="shared" si="294"/>
        <v>182.90770213886816</v>
      </c>
      <c r="AB501" s="160">
        <f t="shared" si="295"/>
        <v>-3.0332510766320158</v>
      </c>
      <c r="AC501" s="171" t="str">
        <f t="shared" si="296"/>
        <v>2.22345758818743E-06+3.62000648012822E-06i</v>
      </c>
      <c r="AD501" s="190">
        <f t="shared" si="297"/>
        <v>-107.4356585089386</v>
      </c>
      <c r="AE501" s="169">
        <f t="shared" si="298"/>
        <v>58.441183791027271</v>
      </c>
      <c r="AF501" s="98" t="str">
        <f t="shared" si="284"/>
        <v>-0.0000119284294234592</v>
      </c>
      <c r="AG501" s="98" t="str">
        <f t="shared" si="285"/>
        <v>0.0237978913576944i</v>
      </c>
      <c r="AH501" s="98">
        <f t="shared" si="299"/>
        <v>2.37978913576944E-2</v>
      </c>
      <c r="AI501" s="98">
        <f t="shared" si="300"/>
        <v>1.5707963267948966</v>
      </c>
      <c r="AJ501" s="98" t="str">
        <f t="shared" si="286"/>
        <v>1+20.552026337952i</v>
      </c>
      <c r="AK501" s="98">
        <f t="shared" si="301"/>
        <v>20.576340456841997</v>
      </c>
      <c r="AL501" s="98">
        <f t="shared" si="302"/>
        <v>1.5221776682391435</v>
      </c>
      <c r="AM501" s="98" t="str">
        <f t="shared" si="287"/>
        <v>1+52334.8008865794i</v>
      </c>
      <c r="AN501" s="98">
        <f t="shared" si="303"/>
        <v>52334.800896133274</v>
      </c>
      <c r="AO501" s="98">
        <f t="shared" si="304"/>
        <v>1.5707772190504716</v>
      </c>
      <c r="AP501" s="168" t="str">
        <f t="shared" si="305"/>
        <v>-0.0619339112546894+1.27336861424132i</v>
      </c>
      <c r="AQ501" s="98">
        <f t="shared" si="306"/>
        <v>2.1093445377956757</v>
      </c>
      <c r="AR501" s="169">
        <f t="shared" si="307"/>
        <v>92.784549147720696</v>
      </c>
      <c r="AS501" s="168" t="str">
        <f t="shared" si="308"/>
        <v>-4.74731006009084E-06+2.60707994781291E-06i</v>
      </c>
      <c r="AT501" s="190">
        <f t="shared" si="309"/>
        <v>-105.32631397114292</v>
      </c>
      <c r="AU501" s="169">
        <f t="shared" si="310"/>
        <v>151.22573293874802</v>
      </c>
      <c r="AV501" s="225"/>
      <c r="AX501">
        <f t="shared" si="311"/>
        <v>0</v>
      </c>
      <c r="AY501">
        <f t="shared" si="312"/>
        <v>0</v>
      </c>
    </row>
    <row r="502" spans="14:51" x14ac:dyDescent="0.2">
      <c r="N502" s="170">
        <v>84</v>
      </c>
      <c r="O502" s="199">
        <f t="shared" si="313"/>
        <v>691830.97091893724</v>
      </c>
      <c r="P502" s="189" t="str">
        <f t="shared" si="279"/>
        <v>771.276595744681</v>
      </c>
      <c r="Q502" s="160" t="str">
        <f t="shared" si="280"/>
        <v>1+4433840.23536024i</v>
      </c>
      <c r="R502" s="160">
        <f t="shared" si="288"/>
        <v>4433840.2353603523</v>
      </c>
      <c r="S502" s="160">
        <f t="shared" si="289"/>
        <v>1.5707961012567746</v>
      </c>
      <c r="T502" s="160" t="str">
        <f t="shared" si="281"/>
        <v>1+1.04325652596712i</v>
      </c>
      <c r="U502" s="160">
        <f t="shared" si="290"/>
        <v>1.4451242780373541</v>
      </c>
      <c r="V502" s="160">
        <f t="shared" si="291"/>
        <v>0.80656538584039872</v>
      </c>
      <c r="W502" s="98" t="str">
        <f t="shared" si="282"/>
        <v>1-2.95589349024016i</v>
      </c>
      <c r="X502" s="160">
        <f t="shared" si="292"/>
        <v>3.1204657225555543</v>
      </c>
      <c r="Y502" s="160">
        <f t="shared" si="293"/>
        <v>-1.2445760070710756</v>
      </c>
      <c r="Z502" s="98" t="str">
        <f t="shared" si="283"/>
        <v>-190.452036929056-20.2384475863733i</v>
      </c>
      <c r="AA502" s="160">
        <f t="shared" si="294"/>
        <v>191.52434083200205</v>
      </c>
      <c r="AB502" s="160">
        <f t="shared" si="295"/>
        <v>-3.0357246342135098</v>
      </c>
      <c r="AC502" s="171" t="str">
        <f t="shared" si="296"/>
        <v>2.11936820793201E-06+3.50474516449544E-06i</v>
      </c>
      <c r="AD502" s="190">
        <f t="shared" si="297"/>
        <v>-107.75338499775417</v>
      </c>
      <c r="AE502" s="169">
        <f t="shared" si="298"/>
        <v>58.838062248291131</v>
      </c>
      <c r="AF502" s="98" t="str">
        <f t="shared" si="284"/>
        <v>-0.0000119284294234592</v>
      </c>
      <c r="AG502" s="98" t="str">
        <f t="shared" si="285"/>
        <v>0.0243522154573874i</v>
      </c>
      <c r="AH502" s="98">
        <f t="shared" si="299"/>
        <v>2.4352215457387399E-2</v>
      </c>
      <c r="AI502" s="98">
        <f t="shared" si="300"/>
        <v>1.5707963267948966</v>
      </c>
      <c r="AJ502" s="98" t="str">
        <f t="shared" si="286"/>
        <v>1+21.0307445287957i</v>
      </c>
      <c r="AK502" s="98">
        <f t="shared" si="301"/>
        <v>21.054505822637353</v>
      </c>
      <c r="AL502" s="98">
        <f t="shared" si="302"/>
        <v>1.5232826798195416</v>
      </c>
      <c r="AM502" s="98" t="str">
        <f t="shared" si="287"/>
        <v>1+53553.8349996453i</v>
      </c>
      <c r="AN502" s="98">
        <f t="shared" si="303"/>
        <v>53553.835008981703</v>
      </c>
      <c r="AO502" s="98">
        <f t="shared" si="304"/>
        <v>1.5707776539958358</v>
      </c>
      <c r="AP502" s="168" t="str">
        <f t="shared" si="305"/>
        <v>-0.0591527142153093+1.24451545017875i</v>
      </c>
      <c r="AQ502" s="98">
        <f t="shared" si="306"/>
        <v>1.9098062327353271</v>
      </c>
      <c r="AR502" s="169">
        <f t="shared" si="307"/>
        <v>92.721261568384506</v>
      </c>
      <c r="AS502" s="168" t="str">
        <f t="shared" si="308"/>
        <v>-4.48707588807465E-06+2.43027129027615E-06i</v>
      </c>
      <c r="AT502" s="190">
        <f t="shared" si="309"/>
        <v>-105.84357876501885</v>
      </c>
      <c r="AU502" s="169">
        <f t="shared" si="310"/>
        <v>151.5593238166756</v>
      </c>
      <c r="AV502" s="225"/>
      <c r="AX502">
        <f t="shared" si="311"/>
        <v>0</v>
      </c>
      <c r="AY502">
        <f t="shared" si="312"/>
        <v>0</v>
      </c>
    </row>
    <row r="503" spans="14:51" x14ac:dyDescent="0.2">
      <c r="N503" s="170">
        <v>85</v>
      </c>
      <c r="O503" s="199">
        <f t="shared" si="313"/>
        <v>707945.78438413853</v>
      </c>
      <c r="P503" s="189" t="str">
        <f t="shared" si="279"/>
        <v>771.276595744681</v>
      </c>
      <c r="Q503" s="160" t="str">
        <f t="shared" si="280"/>
        <v>1+4537117.64173659i</v>
      </c>
      <c r="R503" s="160">
        <f t="shared" si="288"/>
        <v>4537117.6417367002</v>
      </c>
      <c r="S503" s="160">
        <f t="shared" si="289"/>
        <v>1.570796106390649</v>
      </c>
      <c r="T503" s="160" t="str">
        <f t="shared" si="281"/>
        <v>1+1.06755709217332i</v>
      </c>
      <c r="U503" s="160">
        <f t="shared" si="290"/>
        <v>1.4627638719388563</v>
      </c>
      <c r="V503" s="160">
        <f t="shared" si="291"/>
        <v>0.81806138004458795</v>
      </c>
      <c r="W503" s="98" t="str">
        <f t="shared" si="282"/>
        <v>1-3.02474509449106i</v>
      </c>
      <c r="X503" s="160">
        <f t="shared" si="292"/>
        <v>3.1857625282885937</v>
      </c>
      <c r="Y503" s="160">
        <f t="shared" si="293"/>
        <v>-1.2515020426788457</v>
      </c>
      <c r="Z503" s="98" t="str">
        <f t="shared" si="283"/>
        <v>-199.47489345091-20.7098615897772i</v>
      </c>
      <c r="AA503" s="160">
        <f t="shared" si="294"/>
        <v>200.54708046820235</v>
      </c>
      <c r="AB503" s="160">
        <f t="shared" si="295"/>
        <v>-3.0381413953211083</v>
      </c>
      <c r="AC503" s="171" t="str">
        <f t="shared" si="296"/>
        <v>2.02031660784902E-06+3.39427895880379E-06i</v>
      </c>
      <c r="AD503" s="190">
        <f t="shared" si="297"/>
        <v>-108.06797212122055</v>
      </c>
      <c r="AE503" s="169">
        <f t="shared" si="298"/>
        <v>59.238371505822975</v>
      </c>
      <c r="AF503" s="98" t="str">
        <f t="shared" si="284"/>
        <v>-0.0000119284294234592</v>
      </c>
      <c r="AG503" s="98" t="str">
        <f t="shared" si="285"/>
        <v>0.0249194514240556i</v>
      </c>
      <c r="AH503" s="98">
        <f t="shared" si="299"/>
        <v>2.4919451424055598E-2</v>
      </c>
      <c r="AI503" s="98">
        <f t="shared" si="300"/>
        <v>1.5707963267948966</v>
      </c>
      <c r="AJ503" s="98" t="str">
        <f t="shared" si="286"/>
        <v>1+21.5206134987635i</v>
      </c>
      <c r="AK503" s="98">
        <f t="shared" si="301"/>
        <v>21.543834509278096</v>
      </c>
      <c r="AL503" s="98">
        <f t="shared" si="302"/>
        <v>1.5243626504826662</v>
      </c>
      <c r="AM503" s="98" t="str">
        <f t="shared" si="287"/>
        <v>1+54801.2640648969i</v>
      </c>
      <c r="AN503" s="98">
        <f t="shared" si="303"/>
        <v>54801.264074020772</v>
      </c>
      <c r="AO503" s="98">
        <f t="shared" si="304"/>
        <v>1.5707780790406349</v>
      </c>
      <c r="AP503" s="168" t="str">
        <f t="shared" si="305"/>
        <v>-0.056496139566024+1.21631026322748i</v>
      </c>
      <c r="AQ503" s="98">
        <f t="shared" si="306"/>
        <v>1.7102471938029447</v>
      </c>
      <c r="AR503" s="169">
        <f t="shared" si="307"/>
        <v>92.659408160662593</v>
      </c>
      <c r="AS503" s="168" t="str">
        <f t="shared" si="308"/>
        <v>-4.24263642289473E-06+2.26556816731309E-06i</v>
      </c>
      <c r="AT503" s="190">
        <f t="shared" si="309"/>
        <v>-106.35772492741762</v>
      </c>
      <c r="AU503" s="169">
        <f t="shared" si="310"/>
        <v>151.8977796664856</v>
      </c>
      <c r="AV503" s="225"/>
      <c r="AX503">
        <f t="shared" si="311"/>
        <v>0</v>
      </c>
      <c r="AY503">
        <f t="shared" si="312"/>
        <v>0</v>
      </c>
    </row>
    <row r="504" spans="14:51" x14ac:dyDescent="0.2">
      <c r="N504" s="170">
        <v>86</v>
      </c>
      <c r="O504" s="199">
        <f t="shared" si="313"/>
        <v>724435.96007499192</v>
      </c>
      <c r="P504" s="189" t="str">
        <f t="shared" si="279"/>
        <v>771.276595744681</v>
      </c>
      <c r="Q504" s="160" t="str">
        <f t="shared" si="280"/>
        <v>1+4642800.68794245i</v>
      </c>
      <c r="R504" s="160">
        <f t="shared" si="288"/>
        <v>4642800.687942557</v>
      </c>
      <c r="S504" s="160">
        <f t="shared" si="289"/>
        <v>1.5707961114076623</v>
      </c>
      <c r="T504" s="160" t="str">
        <f t="shared" si="281"/>
        <v>1+1.09242369128057i</v>
      </c>
      <c r="U504" s="160">
        <f t="shared" si="290"/>
        <v>1.4810096290271262</v>
      </c>
      <c r="V504" s="160">
        <f t="shared" si="291"/>
        <v>0.82954010956594193</v>
      </c>
      <c r="W504" s="98" t="str">
        <f t="shared" si="282"/>
        <v>1-3.09520045862829i</v>
      </c>
      <c r="X504" s="160">
        <f t="shared" si="292"/>
        <v>3.2527320638338435</v>
      </c>
      <c r="Y504" s="160">
        <f t="shared" si="293"/>
        <v>-1.2583012098534183</v>
      </c>
      <c r="Z504" s="98" t="str">
        <f t="shared" si="283"/>
        <v>-208.922984099911-21.1922562359233i</v>
      </c>
      <c r="AA504" s="160">
        <f t="shared" si="294"/>
        <v>209.99505948850486</v>
      </c>
      <c r="AB504" s="160">
        <f t="shared" si="295"/>
        <v>-3.0405026853137951</v>
      </c>
      <c r="AC504" s="171" t="str">
        <f t="shared" si="296"/>
        <v>1.92604505614504E-06+3.28835615824647E-06i</v>
      </c>
      <c r="AD504" s="190">
        <f t="shared" si="297"/>
        <v>-108.37945583019604</v>
      </c>
      <c r="AE504" s="169">
        <f t="shared" si="298"/>
        <v>59.641782341595594</v>
      </c>
      <c r="AF504" s="98" t="str">
        <f t="shared" si="284"/>
        <v>-0.0000119284294234592</v>
      </c>
      <c r="AG504" s="98" t="str">
        <f t="shared" si="285"/>
        <v>0.0254999000137168i</v>
      </c>
      <c r="AH504" s="98">
        <f t="shared" si="299"/>
        <v>2.5499900013716801E-2</v>
      </c>
      <c r="AI504" s="98">
        <f t="shared" si="300"/>
        <v>1.5707963267948966</v>
      </c>
      <c r="AJ504" s="98" t="str">
        <f t="shared" si="286"/>
        <v>1+22.0218929828673i</v>
      </c>
      <c r="AK504" s="98">
        <f t="shared" si="301"/>
        <v>22.044585969095902</v>
      </c>
      <c r="AL504" s="98">
        <f t="shared" si="302"/>
        <v>1.5254181427606526</v>
      </c>
      <c r="AM504" s="98" t="str">
        <f t="shared" si="287"/>
        <v>1+56077.7494857362i</v>
      </c>
      <c r="AN504" s="98">
        <f t="shared" si="303"/>
        <v>56077.749494652388</v>
      </c>
      <c r="AO504" s="98">
        <f t="shared" si="304"/>
        <v>1.5707784944102332</v>
      </c>
      <c r="AP504" s="168" t="str">
        <f t="shared" si="305"/>
        <v>-0.053958626800327+1.18873888827949i</v>
      </c>
      <c r="AQ504" s="98">
        <f t="shared" si="306"/>
        <v>1.5106683501530094</v>
      </c>
      <c r="AR504" s="169">
        <f t="shared" si="307"/>
        <v>92.598956706750243</v>
      </c>
      <c r="AS504" s="168" t="str">
        <f t="shared" si="308"/>
        <v>-4.01292359020607E-06+2.11212947608868E-06i</v>
      </c>
      <c r="AT504" s="190">
        <f t="shared" si="309"/>
        <v>-106.86878748004304</v>
      </c>
      <c r="AU504" s="169">
        <f t="shared" si="310"/>
        <v>152.24073904834589</v>
      </c>
      <c r="AV504" s="225"/>
      <c r="AX504">
        <f t="shared" si="311"/>
        <v>0</v>
      </c>
      <c r="AY504">
        <f t="shared" si="312"/>
        <v>0</v>
      </c>
    </row>
    <row r="505" spans="14:51" x14ac:dyDescent="0.2">
      <c r="N505" s="170">
        <v>87</v>
      </c>
      <c r="O505" s="199">
        <f t="shared" si="313"/>
        <v>741310.24130091805</v>
      </c>
      <c r="P505" s="189" t="str">
        <f t="shared" si="279"/>
        <v>771.276595744681</v>
      </c>
      <c r="Q505" s="160" t="str">
        <f t="shared" si="280"/>
        <v>1+4750945.40852775i</v>
      </c>
      <c r="R505" s="160">
        <f t="shared" si="288"/>
        <v>4750945.4085278548</v>
      </c>
      <c r="S505" s="160">
        <f t="shared" si="289"/>
        <v>1.5707961163104742</v>
      </c>
      <c r="T505" s="160" t="str">
        <f t="shared" si="281"/>
        <v>1+1.11786950788888i</v>
      </c>
      <c r="U505" s="160">
        <f t="shared" si="290"/>
        <v>1.4998774072129117</v>
      </c>
      <c r="V505" s="160">
        <f t="shared" si="291"/>
        <v>0.84099556198791325</v>
      </c>
      <c r="W505" s="98" t="str">
        <f t="shared" si="282"/>
        <v>1-3.1672969390185i</v>
      </c>
      <c r="X505" s="160">
        <f t="shared" si="292"/>
        <v>3.3214108297402714</v>
      </c>
      <c r="Y505" s="160">
        <f t="shared" si="293"/>
        <v>-1.2649745982083567</v>
      </c>
      <c r="Z505" s="98" t="str">
        <f t="shared" si="283"/>
        <v>-218.81634954305-21.6858872968384i</v>
      </c>
      <c r="AA505" s="160">
        <f t="shared" si="294"/>
        <v>219.88831832363766</v>
      </c>
      <c r="AB505" s="160">
        <f t="shared" si="295"/>
        <v>-3.0428097972429287</v>
      </c>
      <c r="AC505" s="171" t="str">
        <f t="shared" si="296"/>
        <v>1.83631013951904E-06+3.18674004258748E-06i</v>
      </c>
      <c r="AD505" s="190">
        <f t="shared" si="297"/>
        <v>-108.68787368537488</v>
      </c>
      <c r="AE505" s="169">
        <f t="shared" si="298"/>
        <v>60.047961925490981</v>
      </c>
      <c r="AF505" s="98" t="str">
        <f t="shared" si="284"/>
        <v>-0.0000119284294234592</v>
      </c>
      <c r="AG505" s="98" t="str">
        <f t="shared" si="285"/>
        <v>0.0260938689878963i</v>
      </c>
      <c r="AH505" s="98">
        <f t="shared" si="299"/>
        <v>2.6093868987896299E-2</v>
      </c>
      <c r="AI505" s="98">
        <f t="shared" si="300"/>
        <v>1.5707963267948966</v>
      </c>
      <c r="AJ505" s="98" t="str">
        <f t="shared" si="286"/>
        <v>1+22.5348487661248i</v>
      </c>
      <c r="AK505" s="98">
        <f t="shared" si="301"/>
        <v>22.557025710676406</v>
      </c>
      <c r="AL505" s="98">
        <f t="shared" si="302"/>
        <v>1.5264497068770386</v>
      </c>
      <c r="AM505" s="98" t="str">
        <f t="shared" si="287"/>
        <v>1+57383.9680716293i</v>
      </c>
      <c r="AN505" s="98">
        <f t="shared" si="303"/>
        <v>57383.968080342536</v>
      </c>
      <c r="AO505" s="98">
        <f t="shared" si="304"/>
        <v>1.5707789003248649</v>
      </c>
      <c r="AP505" s="168" t="str">
        <f t="shared" si="305"/>
        <v>-0.051534861434609+1.1617874439426i</v>
      </c>
      <c r="AQ505" s="98">
        <f t="shared" si="306"/>
        <v>1.3110705894741255</v>
      </c>
      <c r="AR505" s="169">
        <f t="shared" si="307"/>
        <v>92.539875693779408</v>
      </c>
      <c r="AS505" s="168" t="str">
        <f t="shared" si="308"/>
        <v>-3.79694855717832E-06+1.96917385675484E-06i</v>
      </c>
      <c r="AT505" s="190">
        <f t="shared" si="309"/>
        <v>-107.37680309590075</v>
      </c>
      <c r="AU505" s="169">
        <f t="shared" si="310"/>
        <v>152.58783761927037</v>
      </c>
      <c r="AV505" s="225"/>
      <c r="AX505">
        <f t="shared" si="311"/>
        <v>0</v>
      </c>
      <c r="AY505">
        <f t="shared" si="312"/>
        <v>0</v>
      </c>
    </row>
    <row r="506" spans="14:51" x14ac:dyDescent="0.2">
      <c r="N506" s="170">
        <v>88</v>
      </c>
      <c r="O506" s="199">
        <f t="shared" si="313"/>
        <v>758577.57502918423</v>
      </c>
      <c r="P506" s="189" t="str">
        <f t="shared" si="279"/>
        <v>771.276595744681</v>
      </c>
      <c r="Q506" s="160" t="str">
        <f t="shared" si="280"/>
        <v>1+4861609.14325488i</v>
      </c>
      <c r="R506" s="160">
        <f t="shared" si="288"/>
        <v>4861609.1432549823</v>
      </c>
      <c r="S506" s="160">
        <f t="shared" si="289"/>
        <v>1.5707961211016848</v>
      </c>
      <c r="T506" s="160" t="str">
        <f t="shared" si="281"/>
        <v>1+1.14390803370703i</v>
      </c>
      <c r="U506" s="160">
        <f t="shared" si="290"/>
        <v>1.519383292516896</v>
      </c>
      <c r="V506" s="160">
        <f t="shared" si="291"/>
        <v>0.85242178597313611</v>
      </c>
      <c r="W506" s="98" t="str">
        <f t="shared" si="282"/>
        <v>1-3.24107276216991i</v>
      </c>
      <c r="X506" s="160">
        <f t="shared" si="292"/>
        <v>3.391836176716041</v>
      </c>
      <c r="Y506" s="160">
        <f t="shared" si="293"/>
        <v>-1.271523367678965</v>
      </c>
      <c r="Z506" s="98" t="str">
        <f t="shared" si="283"/>
        <v>-229.175974934864-22.191016502245i</v>
      </c>
      <c r="AA506" s="160">
        <f t="shared" si="294"/>
        <v>230.2478419024776</v>
      </c>
      <c r="AB506" s="160">
        <f t="shared" si="295"/>
        <v>-3.0450639927269867</v>
      </c>
      <c r="AC506" s="171" t="str">
        <f t="shared" si="296"/>
        <v>1.75088188064008E-06+3.08920794574925E-06i</v>
      </c>
      <c r="AD506" s="190">
        <f t="shared" si="297"/>
        <v>-108.99326481908666</v>
      </c>
      <c r="AE506" s="169">
        <f t="shared" si="298"/>
        <v>60.456575096863233</v>
      </c>
      <c r="AF506" s="98" t="str">
        <f t="shared" si="284"/>
        <v>-0.0000119284294234592</v>
      </c>
      <c r="AG506" s="98" t="str">
        <f t="shared" si="285"/>
        <v>0.0267016732768063i</v>
      </c>
      <c r="AH506" s="98">
        <f t="shared" si="299"/>
        <v>2.6701673276806299E-2</v>
      </c>
      <c r="AI506" s="98">
        <f t="shared" si="300"/>
        <v>1.5707963267948966</v>
      </c>
      <c r="AJ506" s="98" t="str">
        <f t="shared" si="286"/>
        <v>1+23.0597528244821i</v>
      </c>
      <c r="AK506" s="98">
        <f t="shared" si="301"/>
        <v>23.081425439651905</v>
      </c>
      <c r="AL506" s="98">
        <f t="shared" si="302"/>
        <v>1.5274578809940735</v>
      </c>
      <c r="AM506" s="98" t="str">
        <f t="shared" si="287"/>
        <v>1+58720.6123969608i</v>
      </c>
      <c r="AN506" s="98">
        <f t="shared" si="303"/>
        <v>58720.612405475695</v>
      </c>
      <c r="AO506" s="98">
        <f t="shared" si="304"/>
        <v>1.5707792969997518</v>
      </c>
      <c r="AP506" s="168" t="str">
        <f t="shared" si="305"/>
        <v>-0.0492197643059376+1.13544232863415i</v>
      </c>
      <c r="AQ506" s="98">
        <f t="shared" si="306"/>
        <v>1.1114547598243911</v>
      </c>
      <c r="AR506" s="169">
        <f t="shared" si="307"/>
        <v>92.482134299655854</v>
      </c>
      <c r="AS506" s="168" t="str">
        <f t="shared" si="308"/>
        <v>-3.59379545704929E-06+0.0000018359753127355i</v>
      </c>
      <c r="AT506" s="190">
        <f t="shared" si="309"/>
        <v>-107.88181005926228</v>
      </c>
      <c r="AU506" s="169">
        <f t="shared" si="310"/>
        <v>152.93870939651916</v>
      </c>
      <c r="AV506" s="225"/>
      <c r="AX506">
        <f t="shared" si="311"/>
        <v>0</v>
      </c>
      <c r="AY506">
        <f t="shared" si="312"/>
        <v>0</v>
      </c>
    </row>
    <row r="507" spans="14:51" x14ac:dyDescent="0.2">
      <c r="N507" s="170">
        <v>89</v>
      </c>
      <c r="O507" s="199">
        <f t="shared" si="313"/>
        <v>776247.11662869214</v>
      </c>
      <c r="P507" s="189" t="str">
        <f t="shared" si="279"/>
        <v>771.276595744681</v>
      </c>
      <c r="Q507" s="160" t="str">
        <f t="shared" si="280"/>
        <v>1+4974850.56750076i</v>
      </c>
      <c r="R507" s="160">
        <f t="shared" si="288"/>
        <v>4974850.5675008604</v>
      </c>
      <c r="S507" s="160">
        <f t="shared" si="289"/>
        <v>1.5707961257838339</v>
      </c>
      <c r="T507" s="160" t="str">
        <f t="shared" si="281"/>
        <v>1+1.17055307470606i</v>
      </c>
      <c r="U507" s="160">
        <f t="shared" si="290"/>
        <v>1.5395436014299209</v>
      </c>
      <c r="V507" s="160">
        <f t="shared" si="291"/>
        <v>0.86381290645858788</v>
      </c>
      <c r="W507" s="98" t="str">
        <f t="shared" si="282"/>
        <v>1-3.3165670450005i</v>
      </c>
      <c r="X507" s="160">
        <f t="shared" si="292"/>
        <v>3.4640463282097351</v>
      </c>
      <c r="Y507" s="160">
        <f t="shared" si="293"/>
        <v>-1.2779487428766103</v>
      </c>
      <c r="Z507" s="98" t="str">
        <f t="shared" si="283"/>
        <v>-240.023834429744-22.7079116783339i</v>
      </c>
      <c r="AA507" s="160">
        <f t="shared" si="294"/>
        <v>241.09560416388385</v>
      </c>
      <c r="AB507" s="160">
        <f t="shared" si="295"/>
        <v>-3.0472665027974624</v>
      </c>
      <c r="AC507" s="171" t="str">
        <f t="shared" si="296"/>
        <v>1.66954291614382E-06+2.99555038280178E-06i</v>
      </c>
      <c r="AD507" s="190">
        <f t="shared" si="297"/>
        <v>-109.29566988996187</v>
      </c>
      <c r="AE507" s="169">
        <f t="shared" si="298"/>
        <v>60.867285607097543</v>
      </c>
      <c r="AF507" s="98" t="str">
        <f t="shared" si="284"/>
        <v>-0.0000119284294234592</v>
      </c>
      <c r="AG507" s="98" t="str">
        <f t="shared" si="285"/>
        <v>0.0273236351463262i</v>
      </c>
      <c r="AH507" s="98">
        <f t="shared" si="299"/>
        <v>2.73236351463262E-2</v>
      </c>
      <c r="AI507" s="98">
        <f t="shared" si="300"/>
        <v>1.5707963267948966</v>
      </c>
      <c r="AJ507" s="98" t="str">
        <f t="shared" si="286"/>
        <v>1+23.5968834690189i</v>
      </c>
      <c r="AK507" s="98">
        <f t="shared" si="301"/>
        <v>23.61806320277887</v>
      </c>
      <c r="AL507" s="98">
        <f t="shared" si="302"/>
        <v>1.5284431914565642</v>
      </c>
      <c r="AM507" s="98" t="str">
        <f t="shared" si="287"/>
        <v>1+60088.3911682444i</v>
      </c>
      <c r="AN507" s="98">
        <f t="shared" si="303"/>
        <v>60088.391176565478</v>
      </c>
      <c r="AO507" s="98">
        <f t="shared" si="304"/>
        <v>1.5707796846452158</v>
      </c>
      <c r="AP507" s="168" t="str">
        <f t="shared" si="305"/>
        <v>-0.0470084813192274+1.10969021659678i</v>
      </c>
      <c r="AQ507" s="98">
        <f t="shared" si="306"/>
        <v>0.91182167138667491</v>
      </c>
      <c r="AR507" s="169">
        <f t="shared" si="307"/>
        <v>92.425702379094091</v>
      </c>
      <c r="AS507" s="168" t="str">
        <f t="shared" si="308"/>
        <v>-3.40261563010307E-06+1.71185916602251E-06i</v>
      </c>
      <c r="AT507" s="190">
        <f t="shared" si="309"/>
        <v>-108.3838482185752</v>
      </c>
      <c r="AU507" s="169">
        <f t="shared" si="310"/>
        <v>153.29298798619166</v>
      </c>
      <c r="AV507" s="225"/>
      <c r="AX507">
        <f t="shared" si="311"/>
        <v>0</v>
      </c>
      <c r="AY507">
        <f t="shared" si="312"/>
        <v>0</v>
      </c>
    </row>
    <row r="508" spans="14:51" x14ac:dyDescent="0.2">
      <c r="N508" s="170">
        <v>90</v>
      </c>
      <c r="O508" s="199">
        <f t="shared" si="313"/>
        <v>794328.23472428333</v>
      </c>
      <c r="P508" s="189" t="str">
        <f t="shared" si="279"/>
        <v>771.276595744681</v>
      </c>
      <c r="Q508" s="160" t="str">
        <f t="shared" si="280"/>
        <v>1+5090729.72336747i</v>
      </c>
      <c r="R508" s="160">
        <f t="shared" si="288"/>
        <v>5090729.723367569</v>
      </c>
      <c r="S508" s="160">
        <f t="shared" si="289"/>
        <v>1.5707961303594042</v>
      </c>
      <c r="T508" s="160" t="str">
        <f t="shared" si="281"/>
        <v>1+1.1978187584394i</v>
      </c>
      <c r="U508" s="160">
        <f t="shared" si="290"/>
        <v>1.5603748838241742</v>
      </c>
      <c r="V508" s="160">
        <f t="shared" si="291"/>
        <v>0.87516313936893708</v>
      </c>
      <c r="W508" s="98" t="str">
        <f t="shared" si="282"/>
        <v>1-3.39381981557831i</v>
      </c>
      <c r="X508" s="160">
        <f t="shared" si="292"/>
        <v>3.5380804033560334</v>
      </c>
      <c r="Y508" s="160">
        <f t="shared" si="293"/>
        <v>-1.2842520076435866</v>
      </c>
      <c r="Z508" s="98" t="str">
        <f t="shared" si="283"/>
        <v>-251.382937792079-23.2368468897694i</v>
      </c>
      <c r="AA508" s="160">
        <f t="shared" si="294"/>
        <v>252.45461466638878</v>
      </c>
      <c r="AB508" s="160">
        <f t="shared" si="295"/>
        <v>-3.0494185287171454</v>
      </c>
      <c r="AC508" s="171" t="str">
        <f t="shared" si="296"/>
        <v>1.59208773061329E-06+2.90557023096887E-06i</v>
      </c>
      <c r="AD508" s="190">
        <f t="shared" si="297"/>
        <v>-109.59513103065061</v>
      </c>
      <c r="AE508" s="169">
        <f t="shared" si="298"/>
        <v>61.279757321489384</v>
      </c>
      <c r="AF508" s="98" t="str">
        <f t="shared" si="284"/>
        <v>-0.0000119284294234592</v>
      </c>
      <c r="AG508" s="98" t="str">
        <f t="shared" si="285"/>
        <v>0.0279600843688718i</v>
      </c>
      <c r="AH508" s="98">
        <f t="shared" si="299"/>
        <v>2.7960084368871801E-2</v>
      </c>
      <c r="AI508" s="98">
        <f t="shared" si="300"/>
        <v>1.5707963267948966</v>
      </c>
      <c r="AJ508" s="98" t="str">
        <f t="shared" si="286"/>
        <v>1+24.1465254935127i</v>
      </c>
      <c r="AK508" s="98">
        <f t="shared" si="301"/>
        <v>24.167223535376561</v>
      </c>
      <c r="AL508" s="98">
        <f t="shared" si="302"/>
        <v>1.5294061530321961</v>
      </c>
      <c r="AM508" s="98" t="str">
        <f t="shared" si="287"/>
        <v>1+61488.0295998894i</v>
      </c>
      <c r="AN508" s="98">
        <f t="shared" si="303"/>
        <v>61488.029608021054</v>
      </c>
      <c r="AO508" s="98">
        <f t="shared" si="304"/>
        <v>1.5707800634667917</v>
      </c>
      <c r="AP508" s="168" t="str">
        <f t="shared" si="305"/>
        <v>-0.0448963736263811+1.08451805384891i</v>
      </c>
      <c r="AQ508" s="98">
        <f t="shared" si="306"/>
        <v>0.71217209814778504</v>
      </c>
      <c r="AR508" s="169">
        <f t="shared" si="307"/>
        <v>92.370550449854591</v>
      </c>
      <c r="AS508" s="168" t="str">
        <f t="shared" si="308"/>
        <v>-3.22262233781128E-06+1.59619832047418E-06i</v>
      </c>
      <c r="AT508" s="190">
        <f t="shared" si="309"/>
        <v>-108.8829589325028</v>
      </c>
      <c r="AU508" s="169">
        <f t="shared" si="310"/>
        <v>153.65030777134402</v>
      </c>
      <c r="AV508" s="225"/>
      <c r="AX508">
        <f t="shared" si="311"/>
        <v>0</v>
      </c>
      <c r="AY508">
        <f t="shared" si="312"/>
        <v>0</v>
      </c>
    </row>
    <row r="509" spans="14:51" x14ac:dyDescent="0.2">
      <c r="N509" s="170">
        <v>91</v>
      </c>
      <c r="O509" s="199">
        <f t="shared" si="313"/>
        <v>812830.51616410096</v>
      </c>
      <c r="P509" s="189" t="str">
        <f t="shared" si="279"/>
        <v>771.276595744681</v>
      </c>
      <c r="Q509" s="160" t="str">
        <f t="shared" si="280"/>
        <v>1+5209308.05151727i</v>
      </c>
      <c r="R509" s="160">
        <f t="shared" si="288"/>
        <v>5209308.0515173655</v>
      </c>
      <c r="S509" s="160">
        <f t="shared" si="289"/>
        <v>1.5707961348308219</v>
      </c>
      <c r="T509" s="160" t="str">
        <f t="shared" si="281"/>
        <v>1+1.22571954153347i</v>
      </c>
      <c r="U509" s="160">
        <f t="shared" si="290"/>
        <v>1.5818939264366054</v>
      </c>
      <c r="V509" s="160">
        <f t="shared" si="291"/>
        <v>0.88646680576081649</v>
      </c>
      <c r="W509" s="98" t="str">
        <f t="shared" si="282"/>
        <v>1-3.47287203434484i</v>
      </c>
      <c r="X509" s="160">
        <f t="shared" si="292"/>
        <v>3.6139784402974056</v>
      </c>
      <c r="Y509" s="160">
        <f t="shared" si="293"/>
        <v>-1.2904344998140875</v>
      </c>
      <c r="Z509" s="98" t="str">
        <f t="shared" si="283"/>
        <v>-263.27737920304-23.7781025850018i</v>
      </c>
      <c r="AA509" s="160">
        <f t="shared" si="294"/>
        <v>264.34896739454877</v>
      </c>
      <c r="AB509" s="160">
        <f t="shared" si="295"/>
        <v>-3.0515212427719249</v>
      </c>
      <c r="AC509" s="171" t="str">
        <f t="shared" si="296"/>
        <v>1.51832194237185E-06+2.81908196144874E-06i</v>
      </c>
      <c r="AD509" s="190">
        <f t="shared" si="297"/>
        <v>-109.8916917888551</v>
      </c>
      <c r="AE509" s="169">
        <f t="shared" si="298"/>
        <v>61.693655375193778</v>
      </c>
      <c r="AF509" s="98" t="str">
        <f t="shared" si="284"/>
        <v>-0.0000119284294234592</v>
      </c>
      <c r="AG509" s="98" t="str">
        <f t="shared" si="285"/>
        <v>0.0286113583982451i</v>
      </c>
      <c r="AH509" s="98">
        <f t="shared" si="299"/>
        <v>2.86113583982451E-2</v>
      </c>
      <c r="AI509" s="98">
        <f t="shared" si="300"/>
        <v>1.5707963267948966</v>
      </c>
      <c r="AJ509" s="98" t="str">
        <f t="shared" si="286"/>
        <v>1+24.7089703254401i</v>
      </c>
      <c r="AK509" s="98">
        <f t="shared" si="301"/>
        <v>24.729197612204874</v>
      </c>
      <c r="AL509" s="98">
        <f t="shared" si="302"/>
        <v>1.5303472691482762</v>
      </c>
      <c r="AM509" s="98" t="str">
        <f t="shared" si="287"/>
        <v>1+62920.2697987184i</v>
      </c>
      <c r="AN509" s="98">
        <f t="shared" si="303"/>
        <v>62920.269806664954</v>
      </c>
      <c r="AO509" s="98">
        <f t="shared" si="304"/>
        <v>1.5707804336653357</v>
      </c>
      <c r="AP509" s="168" t="str">
        <f t="shared" si="305"/>
        <v>-0.0428790082205115+1.05991305408138i</v>
      </c>
      <c r="AQ509" s="98">
        <f t="shared" si="306"/>
        <v>0.51250677950391543</v>
      </c>
      <c r="AR509" s="169">
        <f t="shared" si="307"/>
        <v>92.316649679185616</v>
      </c>
      <c r="AS509" s="168" t="str">
        <f t="shared" si="308"/>
        <v>-3.05308591051321E-06+1.48840980841886E-06i</v>
      </c>
      <c r="AT509" s="190">
        <f t="shared" si="309"/>
        <v>-109.37918500935119</v>
      </c>
      <c r="AU509" s="169">
        <f t="shared" si="310"/>
        <v>154.0103050543795</v>
      </c>
      <c r="AV509" s="225"/>
      <c r="AX509">
        <f t="shared" si="311"/>
        <v>0</v>
      </c>
      <c r="AY509">
        <f t="shared" si="312"/>
        <v>0</v>
      </c>
    </row>
    <row r="510" spans="14:51" x14ac:dyDescent="0.2">
      <c r="N510" s="170">
        <v>92</v>
      </c>
      <c r="O510" s="199">
        <f t="shared" si="313"/>
        <v>831763.77110267128</v>
      </c>
      <c r="P510" s="189" t="str">
        <f t="shared" si="279"/>
        <v>771.276595744681</v>
      </c>
      <c r="Q510" s="160" t="str">
        <f t="shared" si="280"/>
        <v>1+5330648.42374932i</v>
      </c>
      <c r="R510" s="160">
        <f t="shared" si="288"/>
        <v>5330648.4237494133</v>
      </c>
      <c r="S510" s="160">
        <f t="shared" si="289"/>
        <v>1.5707961392004577</v>
      </c>
      <c r="T510" s="160" t="str">
        <f t="shared" si="281"/>
        <v>1+1.25427021735278i</v>
      </c>
      <c r="U510" s="160">
        <f t="shared" si="290"/>
        <v>1.6041177569424852</v>
      </c>
      <c r="V510" s="160">
        <f t="shared" si="291"/>
        <v>0.89771834531735173</v>
      </c>
      <c r="W510" s="98" t="str">
        <f t="shared" si="282"/>
        <v>1-3.55376561583288i</v>
      </c>
      <c r="X510" s="160">
        <f t="shared" si="292"/>
        <v>3.6917814198942018</v>
      </c>
      <c r="Y510" s="160">
        <f t="shared" si="293"/>
        <v>-1.2964976061852174</v>
      </c>
      <c r="Z510" s="98" t="str">
        <f t="shared" si="283"/>
        <v>-275.732388367576-24.3319657449652i</v>
      </c>
      <c r="AA510" s="160">
        <f t="shared" si="294"/>
        <v>276.80389186552617</v>
      </c>
      <c r="AB510" s="160">
        <f t="shared" si="295"/>
        <v>-3.0535757890372115</v>
      </c>
      <c r="AC510" s="171" t="str">
        <f t="shared" si="296"/>
        <v>1.44806163724562E-06+0.0000027359109190145i</v>
      </c>
      <c r="AD510" s="190">
        <f t="shared" si="297"/>
        <v>-110.18539706202165</v>
      </c>
      <c r="AE510" s="169">
        <f t="shared" si="298"/>
        <v>62.108647278456822</v>
      </c>
      <c r="AF510" s="98" t="str">
        <f t="shared" si="284"/>
        <v>-0.0000119284294234592</v>
      </c>
      <c r="AG510" s="98" t="str">
        <f t="shared" si="285"/>
        <v>0.0292778025485573i</v>
      </c>
      <c r="AH510" s="98">
        <f t="shared" si="299"/>
        <v>2.9277802548557299E-2</v>
      </c>
      <c r="AI510" s="98">
        <f t="shared" si="300"/>
        <v>1.5707963267948966</v>
      </c>
      <c r="AJ510" s="98" t="str">
        <f t="shared" si="286"/>
        <v>1+25.2845161804959i</v>
      </c>
      <c r="AK510" s="98">
        <f t="shared" si="301"/>
        <v>25.304283401862204</v>
      </c>
      <c r="AL510" s="98">
        <f t="shared" si="302"/>
        <v>1.5312670321248563</v>
      </c>
      <c r="AM510" s="98" t="str">
        <f t="shared" si="287"/>
        <v>1+64385.8711574428i</v>
      </c>
      <c r="AN510" s="98">
        <f t="shared" si="303"/>
        <v>64385.871165208482</v>
      </c>
      <c r="AO510" s="98">
        <f t="shared" si="304"/>
        <v>1.5707807954371322</v>
      </c>
      <c r="AP510" s="168" t="str">
        <f t="shared" si="305"/>
        <v>-0.0409521489288992+1.03586269451098i</v>
      </c>
      <c r="AQ510" s="98">
        <f t="shared" si="306"/>
        <v>0.3128264217960095</v>
      </c>
      <c r="AR510" s="169">
        <f t="shared" si="307"/>
        <v>92.26397187047229</v>
      </c>
      <c r="AS510" s="168" t="str">
        <f t="shared" si="308"/>
        <v>-2.89332929233908E-06+1.38795159796355E-06i</v>
      </c>
      <c r="AT510" s="190">
        <f t="shared" si="309"/>
        <v>-109.87257064022563</v>
      </c>
      <c r="AU510" s="169">
        <f t="shared" si="310"/>
        <v>154.37261914892903</v>
      </c>
      <c r="AV510" s="225"/>
      <c r="AX510">
        <f t="shared" si="311"/>
        <v>0</v>
      </c>
      <c r="AY510">
        <f t="shared" si="312"/>
        <v>0</v>
      </c>
    </row>
    <row r="511" spans="14:51" x14ac:dyDescent="0.2">
      <c r="N511" s="170">
        <v>93</v>
      </c>
      <c r="O511" s="199">
        <f t="shared" si="313"/>
        <v>851138.03820237669</v>
      </c>
      <c r="P511" s="189" t="str">
        <f t="shared" si="279"/>
        <v>771.276595744681</v>
      </c>
      <c r="Q511" s="160" t="str">
        <f t="shared" si="280"/>
        <v>1+5454815.17633513i</v>
      </c>
      <c r="R511" s="160">
        <f t="shared" si="288"/>
        <v>5454815.1763352212</v>
      </c>
      <c r="S511" s="160">
        <f t="shared" si="289"/>
        <v>1.5707961434706286</v>
      </c>
      <c r="T511" s="160" t="str">
        <f t="shared" si="281"/>
        <v>1+1.28348592384356i</v>
      </c>
      <c r="U511" s="160">
        <f t="shared" si="290"/>
        <v>1.6270636486334997</v>
      </c>
      <c r="V511" s="160">
        <f t="shared" si="291"/>
        <v>0.90891232911959696</v>
      </c>
      <c r="W511" s="98" t="str">
        <f t="shared" si="282"/>
        <v>1-3.63654345089008i</v>
      </c>
      <c r="X511" s="160">
        <f t="shared" si="292"/>
        <v>3.7715312898359379</v>
      </c>
      <c r="Y511" s="160">
        <f t="shared" si="293"/>
        <v>-1.3024427577004358</v>
      </c>
      <c r="Z511" s="98" t="str">
        <f t="shared" si="283"/>
        <v>-288.774384029997-24.8987300352383i</v>
      </c>
      <c r="AA511" s="160">
        <f t="shared" si="294"/>
        <v>289.84580664427745</v>
      </c>
      <c r="AB511" s="160">
        <f t="shared" si="295"/>
        <v>-3.0555832841200217</v>
      </c>
      <c r="AC511" s="171" t="str">
        <f t="shared" si="296"/>
        <v>1.38113274675735E-06+2.65589264652659E-06i</v>
      </c>
      <c r="AD511" s="190">
        <f t="shared" si="297"/>
        <v>-110.47629302610133</v>
      </c>
      <c r="AE511" s="169">
        <f t="shared" si="298"/>
        <v>62.524403966851075</v>
      </c>
      <c r="AF511" s="98" t="str">
        <f t="shared" si="284"/>
        <v>-0.0000119284294234592</v>
      </c>
      <c r="AG511" s="98" t="str">
        <f t="shared" si="285"/>
        <v>0.0299597701773183i</v>
      </c>
      <c r="AH511" s="98">
        <f t="shared" si="299"/>
        <v>2.9959770177318299E-2</v>
      </c>
      <c r="AI511" s="98">
        <f t="shared" si="300"/>
        <v>1.5707963267948966</v>
      </c>
      <c r="AJ511" s="98" t="str">
        <f t="shared" si="286"/>
        <v>1+25.8734682207108i</v>
      </c>
      <c r="AK511" s="98">
        <f t="shared" si="301"/>
        <v>25.892785824783932</v>
      </c>
      <c r="AL511" s="98">
        <f t="shared" si="302"/>
        <v>1.5321659234042009</v>
      </c>
      <c r="AM511" s="98" t="str">
        <f t="shared" si="287"/>
        <v>1+65885.6107573027i</v>
      </c>
      <c r="AN511" s="98">
        <f t="shared" si="303"/>
        <v>65885.610764891593</v>
      </c>
      <c r="AO511" s="98">
        <f t="shared" si="304"/>
        <v>1.5707811489739971</v>
      </c>
      <c r="AP511" s="168" t="str">
        <f t="shared" si="305"/>
        <v>-0.0391117477888847+1.0123547117007i</v>
      </c>
      <c r="AQ511" s="98">
        <f t="shared" si="306"/>
        <v>0.11313169977805437</v>
      </c>
      <c r="AR511" s="169">
        <f t="shared" si="307"/>
        <v>92.212489450094978</v>
      </c>
      <c r="AS511" s="168" t="str">
        <f t="shared" si="308"/>
        <v>-2.74272395013658E-06+1.29431964031863E-06i</v>
      </c>
      <c r="AT511" s="190">
        <f t="shared" si="309"/>
        <v>-110.36316132632328</v>
      </c>
      <c r="AU511" s="169">
        <f t="shared" si="310"/>
        <v>154.73689341694612</v>
      </c>
      <c r="AV511" s="225"/>
      <c r="AX511">
        <f t="shared" si="311"/>
        <v>0</v>
      </c>
      <c r="AY511">
        <f t="shared" si="312"/>
        <v>0</v>
      </c>
    </row>
    <row r="512" spans="14:51" x14ac:dyDescent="0.2">
      <c r="N512" s="170">
        <v>94</v>
      </c>
      <c r="O512" s="199">
        <f t="shared" si="313"/>
        <v>870963.58995608077</v>
      </c>
      <c r="P512" s="189" t="str">
        <f t="shared" si="279"/>
        <v>771.276595744681</v>
      </c>
      <c r="Q512" s="160" t="str">
        <f t="shared" si="280"/>
        <v>1+5581874.14413044i</v>
      </c>
      <c r="R512" s="160">
        <f t="shared" si="288"/>
        <v>5581874.1441305298</v>
      </c>
      <c r="S512" s="160">
        <f t="shared" si="289"/>
        <v>1.5707961476435983</v>
      </c>
      <c r="T512" s="160" t="str">
        <f t="shared" si="281"/>
        <v>1+1.3133821515601i</v>
      </c>
      <c r="U512" s="160">
        <f t="shared" si="290"/>
        <v>1.6507491257113049</v>
      </c>
      <c r="V512" s="160">
        <f t="shared" si="291"/>
        <v>0.92004347162958133</v>
      </c>
      <c r="W512" s="98" t="str">
        <f t="shared" si="282"/>
        <v>1-3.72124942942029i</v>
      </c>
      <c r="X512" s="160">
        <f t="shared" si="292"/>
        <v>3.8532709891676236</v>
      </c>
      <c r="Y512" s="160">
        <f t="shared" si="293"/>
        <v>-1.3082714248465162</v>
      </c>
      <c r="Z512" s="98" t="str">
        <f t="shared" si="283"/>
        <v>-302.431030011674-25.4786959617496i</v>
      </c>
      <c r="AA512" s="160">
        <f t="shared" si="294"/>
        <v>303.50237538087464</v>
      </c>
      <c r="AB512" s="160">
        <f t="shared" si="295"/>
        <v>-3.0575448178777074</v>
      </c>
      <c r="AC512" s="171" t="str">
        <f t="shared" si="296"/>
        <v>1.31737046749205E-06+2.57887225164577E-06i</v>
      </c>
      <c r="AD512" s="190">
        <f t="shared" si="297"/>
        <v>-110.76442705885481</v>
      </c>
      <c r="AE512" s="169">
        <f t="shared" si="298"/>
        <v>62.940600792769139</v>
      </c>
      <c r="AF512" s="98" t="str">
        <f t="shared" si="284"/>
        <v>-0.0000119284294234592</v>
      </c>
      <c r="AG512" s="98" t="str">
        <f t="shared" si="285"/>
        <v>0.0306576228727917i</v>
      </c>
      <c r="AH512" s="98">
        <f t="shared" si="299"/>
        <v>3.0657622872791699E-2</v>
      </c>
      <c r="AI512" s="98">
        <f t="shared" si="300"/>
        <v>1.5707963267948966</v>
      </c>
      <c r="AJ512" s="98" t="str">
        <f t="shared" si="286"/>
        <v>1+26.4761387162521i</v>
      </c>
      <c r="AK512" s="98">
        <f t="shared" si="301"/>
        <v>26.495016914926158</v>
      </c>
      <c r="AL512" s="98">
        <f t="shared" si="302"/>
        <v>1.5330444137765769</v>
      </c>
      <c r="AM512" s="98" t="str">
        <f t="shared" si="287"/>
        <v>1+67420.2837800853i</v>
      </c>
      <c r="AN512" s="98">
        <f t="shared" si="303"/>
        <v>67420.283787501452</v>
      </c>
      <c r="AO512" s="98">
        <f t="shared" si="304"/>
        <v>1.5707814944633807</v>
      </c>
      <c r="AP512" s="168" t="str">
        <f t="shared" si="305"/>
        <v>-0.0373539367914038+0.989377097355703i</v>
      </c>
      <c r="AQ512" s="98">
        <f t="shared" si="306"/>
        <v>-8.6576741979101812E-2</v>
      </c>
      <c r="AR512" s="169">
        <f t="shared" si="307"/>
        <v>92.162175454498509</v>
      </c>
      <c r="AS512" s="168" t="str">
        <f t="shared" si="308"/>
        <v>-2.60068611595802E-06+1.20704513818833E-06i</v>
      </c>
      <c r="AT512" s="190">
        <f t="shared" si="309"/>
        <v>-110.85100380083389</v>
      </c>
      <c r="AU512" s="169">
        <f t="shared" si="310"/>
        <v>155.10277624726763</v>
      </c>
      <c r="AV512" s="225"/>
      <c r="AX512">
        <f t="shared" si="311"/>
        <v>0</v>
      </c>
      <c r="AY512">
        <f t="shared" si="312"/>
        <v>0</v>
      </c>
    </row>
    <row r="513" spans="14:51" x14ac:dyDescent="0.2">
      <c r="N513" s="170">
        <v>95</v>
      </c>
      <c r="O513" s="199">
        <f t="shared" si="313"/>
        <v>891250.93813374708</v>
      </c>
      <c r="P513" s="189" t="str">
        <f t="shared" si="279"/>
        <v>771.276595744681</v>
      </c>
      <c r="Q513" s="160" t="str">
        <f t="shared" si="280"/>
        <v>1+5711892.69548182i</v>
      </c>
      <c r="R513" s="160">
        <f t="shared" si="288"/>
        <v>5711892.6954819076</v>
      </c>
      <c r="S513" s="160">
        <f t="shared" si="289"/>
        <v>1.5707961517215798</v>
      </c>
      <c r="T513" s="160" t="str">
        <f t="shared" si="281"/>
        <v>1+1.34397475187807i</v>
      </c>
      <c r="U513" s="160">
        <f t="shared" si="290"/>
        <v>1.6751919692040433</v>
      </c>
      <c r="V513" s="160">
        <f t="shared" si="291"/>
        <v>0.93110664182824332</v>
      </c>
      <c r="W513" s="98" t="str">
        <f t="shared" si="282"/>
        <v>1-3.80792846365454i</v>
      </c>
      <c r="X513" s="160">
        <f t="shared" si="292"/>
        <v>3.937044473245181</v>
      </c>
      <c r="Y513" s="160">
        <f t="shared" si="293"/>
        <v>-1.3139851132638358</v>
      </c>
      <c r="Z513" s="98" t="str">
        <f t="shared" si="283"/>
        <v>-316.731293889714-26.0721710301104i</v>
      </c>
      <c r="AA513" s="160">
        <f t="shared" si="294"/>
        <v>317.80256548881994</v>
      </c>
      <c r="AB513" s="160">
        <f t="shared" si="295"/>
        <v>-3.0594614541142722</v>
      </c>
      <c r="AC513" s="171" t="str">
        <f t="shared" si="296"/>
        <v>0.0000012566187186309+2.50470381318643E-06i</v>
      </c>
      <c r="AD513" s="190">
        <f t="shared" si="297"/>
        <v>-111.0498476582278</v>
      </c>
      <c r="AE513" s="169">
        <f t="shared" si="298"/>
        <v>63.356918454988033</v>
      </c>
      <c r="AF513" s="98" t="str">
        <f t="shared" si="284"/>
        <v>-0.0000119284294234592</v>
      </c>
      <c r="AG513" s="98" t="str">
        <f t="shared" si="285"/>
        <v>0.031371730645714i</v>
      </c>
      <c r="AH513" s="98">
        <f t="shared" si="299"/>
        <v>3.1371730645713997E-2</v>
      </c>
      <c r="AI513" s="98">
        <f t="shared" si="300"/>
        <v>1.5707963267948966</v>
      </c>
      <c r="AJ513" s="98" t="str">
        <f t="shared" si="286"/>
        <v>1+27.092847210994i</v>
      </c>
      <c r="AK513" s="98">
        <f t="shared" si="301"/>
        <v>27.111295985221098</v>
      </c>
      <c r="AL513" s="98">
        <f t="shared" si="302"/>
        <v>1.5339029636023462</v>
      </c>
      <c r="AM513" s="98" t="str">
        <f t="shared" si="287"/>
        <v>1+68990.7039297412i</v>
      </c>
      <c r="AN513" s="98">
        <f t="shared" si="303"/>
        <v>68990.703936988546</v>
      </c>
      <c r="AO513" s="98">
        <f t="shared" si="304"/>
        <v>1.5707818320884657</v>
      </c>
      <c r="AP513" s="168" t="str">
        <f t="shared" si="305"/>
        <v>-0.0356750199774021+0.966918094103306i</v>
      </c>
      <c r="AQ513" s="98">
        <f t="shared" si="306"/>
        <v>-0.28629828774587129</v>
      </c>
      <c r="AR513" s="169">
        <f t="shared" si="307"/>
        <v>92.113003517472663</v>
      </c>
      <c r="AS513" s="168" t="str">
        <f t="shared" si="308"/>
        <v>-2.46667333523064E-06+1.12569201786023E-06i</v>
      </c>
      <c r="AT513" s="190">
        <f t="shared" si="309"/>
        <v>-111.33614594597368</v>
      </c>
      <c r="AU513" s="169">
        <f t="shared" si="310"/>
        <v>155.46992197246061</v>
      </c>
      <c r="AV513" s="225"/>
      <c r="AX513">
        <f t="shared" si="311"/>
        <v>0</v>
      </c>
      <c r="AY513">
        <f t="shared" si="312"/>
        <v>0</v>
      </c>
    </row>
    <row r="514" spans="14:51" x14ac:dyDescent="0.2">
      <c r="N514" s="170">
        <v>96</v>
      </c>
      <c r="O514" s="199">
        <f t="shared" si="313"/>
        <v>912010.83935591124</v>
      </c>
      <c r="P514" s="189" t="str">
        <f t="shared" si="279"/>
        <v>771.276595744681</v>
      </c>
      <c r="Q514" s="160" t="str">
        <f t="shared" si="280"/>
        <v>1+5844939.76794617i</v>
      </c>
      <c r="R514" s="160">
        <f t="shared" si="288"/>
        <v>5844939.7679462554</v>
      </c>
      <c r="S514" s="160">
        <f t="shared" si="289"/>
        <v>1.5707961557067349</v>
      </c>
      <c r="T514" s="160" t="str">
        <f t="shared" si="281"/>
        <v>1+1.3752799453991i</v>
      </c>
      <c r="U514" s="160">
        <f t="shared" si="290"/>
        <v>1.700410223509889</v>
      </c>
      <c r="V514" s="160">
        <f t="shared" si="291"/>
        <v>0.94209687346046123</v>
      </c>
      <c r="W514" s="98" t="str">
        <f t="shared" si="282"/>
        <v>1-3.89662651196411i</v>
      </c>
      <c r="X514" s="160">
        <f t="shared" si="292"/>
        <v>4.022896739134822</v>
      </c>
      <c r="Y514" s="160">
        <f t="shared" si="293"/>
        <v>-1.3195853595687574</v>
      </c>
      <c r="Z514" s="98" t="str">
        <f t="shared" si="283"/>
        <v>-331.70550844107-26.6794699086572i</v>
      </c>
      <c r="AA514" s="160">
        <f t="shared" si="294"/>
        <v>332.77670958881072</v>
      </c>
      <c r="AB514" s="160">
        <f t="shared" si="295"/>
        <v>-3.0613342312551732</v>
      </c>
      <c r="AC514" s="171" t="str">
        <f t="shared" si="296"/>
        <v>1.19872963488526E-06+2.43324982469431E-06i</v>
      </c>
      <c r="AD514" s="190">
        <f t="shared" si="297"/>
        <v>-111.3326043563678</v>
      </c>
      <c r="AE514" s="169">
        <f t="shared" si="298"/>
        <v>63.773043863689168</v>
      </c>
      <c r="AF514" s="98" t="str">
        <f t="shared" si="284"/>
        <v>-0.0000119284294234592</v>
      </c>
      <c r="AG514" s="98" t="str">
        <f t="shared" si="285"/>
        <v>0.0321024721254785i</v>
      </c>
      <c r="AH514" s="98">
        <f t="shared" si="299"/>
        <v>3.2102472125478503E-2</v>
      </c>
      <c r="AI514" s="98">
        <f t="shared" si="300"/>
        <v>1.5707963267948966</v>
      </c>
      <c r="AJ514" s="98" t="str">
        <f t="shared" si="286"/>
        <v>1+27.7239206919433i</v>
      </c>
      <c r="AK514" s="98">
        <f t="shared" si="301"/>
        <v>27.741949796889941</v>
      </c>
      <c r="AL514" s="98">
        <f t="shared" si="302"/>
        <v>1.5347420230303501</v>
      </c>
      <c r="AM514" s="98" t="str">
        <f t="shared" si="287"/>
        <v>1+70597.7038638204i</v>
      </c>
      <c r="AN514" s="98">
        <f t="shared" si="303"/>
        <v>70597.703870902769</v>
      </c>
      <c r="AO514" s="98">
        <f t="shared" si="304"/>
        <v>1.5707821620282654</v>
      </c>
      <c r="AP514" s="168" t="str">
        <f t="shared" si="305"/>
        <v>-0.0340714658728839+0.944966191264724i</v>
      </c>
      <c r="AQ514" s="98">
        <f t="shared" si="306"/>
        <v>-0.48603234935021694</v>
      </c>
      <c r="AR514" s="169">
        <f t="shared" si="307"/>
        <v>92.064947857645379</v>
      </c>
      <c r="AS514" s="168" t="str">
        <f t="shared" si="308"/>
        <v>-2.34018129508275E-06+0.0000010498545890714i</v>
      </c>
      <c r="AT514" s="190">
        <f t="shared" si="309"/>
        <v>-111.81863670571802</v>
      </c>
      <c r="AU514" s="169">
        <f t="shared" si="310"/>
        <v>155.83799172133465</v>
      </c>
      <c r="AV514" s="225"/>
      <c r="AX514">
        <f t="shared" si="311"/>
        <v>0</v>
      </c>
      <c r="AY514">
        <f t="shared" si="312"/>
        <v>0</v>
      </c>
    </row>
    <row r="515" spans="14:51" x14ac:dyDescent="0.2">
      <c r="N515" s="170">
        <v>97</v>
      </c>
      <c r="O515" s="199">
        <f t="shared" si="313"/>
        <v>933254.30079699249</v>
      </c>
      <c r="P515" s="189" t="str">
        <f t="shared" si="279"/>
        <v>771.276595744681</v>
      </c>
      <c r="Q515" s="160" t="str">
        <f t="shared" si="280"/>
        <v>1+5981085.90484242i</v>
      </c>
      <c r="R515" s="160">
        <f t="shared" si="288"/>
        <v>5981085.9048425034</v>
      </c>
      <c r="S515" s="160">
        <f t="shared" si="289"/>
        <v>1.570796159601177</v>
      </c>
      <c r="T515" s="160" t="str">
        <f t="shared" si="281"/>
        <v>1+1.40731433055116i</v>
      </c>
      <c r="U515" s="160">
        <f t="shared" si="290"/>
        <v>1.7264222035685997</v>
      </c>
      <c r="V515" s="160">
        <f t="shared" si="291"/>
        <v>0.95300937434865884</v>
      </c>
      <c r="W515" s="98" t="str">
        <f t="shared" si="282"/>
        <v>1-3.98739060322827i</v>
      </c>
      <c r="X515" s="160">
        <f t="shared" si="292"/>
        <v>4.1108738514716192</v>
      </c>
      <c r="Y515" s="160">
        <f t="shared" si="293"/>
        <v>-1.3250737273858817</v>
      </c>
      <c r="Z515" s="98" t="str">
        <f t="shared" si="283"/>
        <v>-347.385435982434-27.3009145952942i</v>
      </c>
      <c r="AA515" s="160">
        <f t="shared" si="294"/>
        <v>348.45656984830305</v>
      </c>
      <c r="AB515" s="160">
        <f t="shared" si="295"/>
        <v>-3.0631641630014479</v>
      </c>
      <c r="AC515" s="171" t="str">
        <f t="shared" si="296"/>
        <v>1.14356309227801E-06+2.36438067296958E-06i</v>
      </c>
      <c r="AD515" s="190">
        <f t="shared" si="297"/>
        <v>-111.61274762988771</v>
      </c>
      <c r="AE515" s="169">
        <f t="shared" si="298"/>
        <v>64.188670938902348</v>
      </c>
      <c r="AF515" s="98" t="str">
        <f t="shared" si="284"/>
        <v>-0.0000119284294234592</v>
      </c>
      <c r="AG515" s="98" t="str">
        <f t="shared" si="285"/>
        <v>0.0328502347608904i</v>
      </c>
      <c r="AH515" s="98">
        <f t="shared" si="299"/>
        <v>3.2850234760890398E-2</v>
      </c>
      <c r="AI515" s="98">
        <f t="shared" si="300"/>
        <v>1.5707963267948966</v>
      </c>
      <c r="AJ515" s="98" t="str">
        <f t="shared" si="286"/>
        <v>1+28.369693762613i</v>
      </c>
      <c r="AK515" s="98">
        <f t="shared" si="301"/>
        <v>28.387312732705837</v>
      </c>
      <c r="AL515" s="98">
        <f t="shared" si="302"/>
        <v>1.5355620322125842</v>
      </c>
      <c r="AM515" s="98" t="str">
        <f t="shared" si="287"/>
        <v>1+72242.1356349594i</v>
      </c>
      <c r="AN515" s="98">
        <f t="shared" si="303"/>
        <v>72242.135641880566</v>
      </c>
      <c r="AO515" s="98">
        <f t="shared" si="304"/>
        <v>1.5707824844577183</v>
      </c>
      <c r="AP515" s="168" t="str">
        <f t="shared" si="305"/>
        <v>-0.032539900248829+0.923510120625351i</v>
      </c>
      <c r="AQ515" s="98">
        <f t="shared" si="306"/>
        <v>-0.68577836495141531</v>
      </c>
      <c r="AR515" s="169">
        <f t="shared" si="307"/>
        <v>92.017983266188239</v>
      </c>
      <c r="AS515" s="168" t="str">
        <f t="shared" si="308"/>
        <v>-2.22074090944935E-06+9.79155378043675E-07i</v>
      </c>
      <c r="AT515" s="190">
        <f t="shared" si="309"/>
        <v>-112.29852599483914</v>
      </c>
      <c r="AU515" s="169">
        <f t="shared" si="310"/>
        <v>156.20665420509056</v>
      </c>
      <c r="AV515" s="225"/>
      <c r="AX515">
        <f t="shared" si="311"/>
        <v>0</v>
      </c>
      <c r="AY515">
        <f t="shared" si="312"/>
        <v>0</v>
      </c>
    </row>
    <row r="516" spans="14:51" x14ac:dyDescent="0.2">
      <c r="N516" s="170">
        <v>98</v>
      </c>
      <c r="O516" s="199">
        <f t="shared" si="313"/>
        <v>954992.58602143743</v>
      </c>
      <c r="P516" s="189" t="str">
        <f t="shared" si="279"/>
        <v>771.276595744681</v>
      </c>
      <c r="Q516" s="160" t="str">
        <f t="shared" si="280"/>
        <v>1+6120403.29265444i</v>
      </c>
      <c r="R516" s="160">
        <f t="shared" si="288"/>
        <v>6120403.2926545218</v>
      </c>
      <c r="S516" s="160">
        <f t="shared" si="289"/>
        <v>1.5707961634069707</v>
      </c>
      <c r="T516" s="160" t="str">
        <f t="shared" si="281"/>
        <v>1+1.44009489238928i</v>
      </c>
      <c r="U516" s="160">
        <f t="shared" si="290"/>
        <v>1.7532465026589077</v>
      </c>
      <c r="V516" s="160">
        <f t="shared" si="291"/>
        <v>0.96383953474573769</v>
      </c>
      <c r="W516" s="98" t="str">
        <f t="shared" si="282"/>
        <v>1-4.08026886176962i</v>
      </c>
      <c r="X516" s="160">
        <f t="shared" si="292"/>
        <v>4.2010229687930476</v>
      </c>
      <c r="Y516" s="160">
        <f t="shared" si="293"/>
        <v>-1.330451803587116</v>
      </c>
      <c r="Z516" s="98" t="str">
        <f t="shared" si="283"/>
        <v>-363.804335742365-27.9368345882199i</v>
      </c>
      <c r="AA516" s="160">
        <f t="shared" si="294"/>
        <v>364.87540535332477</v>
      </c>
      <c r="AB516" s="160">
        <f t="shared" si="295"/>
        <v>-3.0649522389639894</v>
      </c>
      <c r="AC516" s="171" t="str">
        <f t="shared" si="296"/>
        <v>1.09098626441825E-06+2.29797414938782E-06i</v>
      </c>
      <c r="AD516" s="190">
        <f t="shared" si="297"/>
        <v>-111.89032880700606</v>
      </c>
      <c r="AE516" s="169">
        <f t="shared" si="298"/>
        <v>64.603501340920829</v>
      </c>
      <c r="AF516" s="98" t="str">
        <f t="shared" si="284"/>
        <v>-0.0000119284294234592</v>
      </c>
      <c r="AG516" s="98" t="str">
        <f t="shared" si="285"/>
        <v>0.0336154150255968i</v>
      </c>
      <c r="AH516" s="98">
        <f t="shared" si="299"/>
        <v>3.3615415025596798E-2</v>
      </c>
      <c r="AI516" s="98">
        <f t="shared" si="300"/>
        <v>1.5707963267948966</v>
      </c>
      <c r="AJ516" s="98" t="str">
        <f t="shared" si="286"/>
        <v>1+29.0305088204329i</v>
      </c>
      <c r="AK516" s="98">
        <f t="shared" si="301"/>
        <v>29.047726974295813</v>
      </c>
      <c r="AL516" s="98">
        <f t="shared" si="302"/>
        <v>1.5363634215151591</v>
      </c>
      <c r="AM516" s="98" t="str">
        <f t="shared" si="287"/>
        <v>1+73924.8711426496i</v>
      </c>
      <c r="AN516" s="98">
        <f t="shared" si="303"/>
        <v>73924.871149413229</v>
      </c>
      <c r="AO516" s="98">
        <f t="shared" si="304"/>
        <v>1.570782799547781</v>
      </c>
      <c r="AP516" s="168" t="str">
        <f t="shared" si="305"/>
        <v>-0.0310770991927288+0.902538852210182i</v>
      </c>
      <c r="AQ516" s="98">
        <f t="shared" si="306"/>
        <v>-0.88553579786701253</v>
      </c>
      <c r="AR516" s="169">
        <f t="shared" si="307"/>
        <v>91.972085094734524</v>
      </c>
      <c r="AS516" s="168" t="str">
        <f t="shared" si="308"/>
        <v>-2.10791563955438E-06+9.1324312028227E-07i</v>
      </c>
      <c r="AT516" s="190">
        <f t="shared" si="309"/>
        <v>-112.77586460487308</v>
      </c>
      <c r="AU516" s="169">
        <f t="shared" si="310"/>
        <v>156.57558643565531</v>
      </c>
      <c r="AV516" s="225"/>
      <c r="AX516">
        <f t="shared" si="311"/>
        <v>0</v>
      </c>
      <c r="AY516">
        <f t="shared" si="312"/>
        <v>0</v>
      </c>
    </row>
    <row r="517" spans="14:51" x14ac:dyDescent="0.2">
      <c r="N517" s="170">
        <v>99</v>
      </c>
      <c r="O517" s="199">
        <f t="shared" si="313"/>
        <v>977237.22095581202</v>
      </c>
      <c r="P517" s="189" t="str">
        <f t="shared" si="279"/>
        <v>771.276595744681</v>
      </c>
      <c r="Q517" s="160" t="str">
        <f t="shared" si="280"/>
        <v>1+6262965.79930534i</v>
      </c>
      <c r="R517" s="160">
        <f t="shared" si="288"/>
        <v>6262965.7993054194</v>
      </c>
      <c r="S517" s="160">
        <f t="shared" si="289"/>
        <v>1.5707961671261339</v>
      </c>
      <c r="T517" s="160" t="str">
        <f t="shared" si="281"/>
        <v>1+1.47363901160126i</v>
      </c>
      <c r="U517" s="160">
        <f t="shared" si="290"/>
        <v>1.78090200081676</v>
      </c>
      <c r="V517" s="160">
        <f t="shared" si="291"/>
        <v>0.97458293470735879</v>
      </c>
      <c r="W517" s="98" t="str">
        <f t="shared" si="282"/>
        <v>1-4.17531053287022i</v>
      </c>
      <c r="X517" s="160">
        <f t="shared" si="292"/>
        <v>4.2933923703636729</v>
      </c>
      <c r="Y517" s="160">
        <f t="shared" si="293"/>
        <v>-1.3357211947337713</v>
      </c>
      <c r="Z517" s="98" t="str">
        <f t="shared" si="283"/>
        <v>-380.997034408576-28.5875670606321i</v>
      </c>
      <c r="AA517" s="160">
        <f t="shared" si="294"/>
        <v>382.0680426554618</v>
      </c>
      <c r="AB517" s="160">
        <f t="shared" si="295"/>
        <v>-3.0666994252787214</v>
      </c>
      <c r="AC517" s="171" t="str">
        <f t="shared" si="296"/>
        <v>1.04087320709716E-06+2.23391499199466E-06i</v>
      </c>
      <c r="AD517" s="190">
        <f t="shared" si="297"/>
        <v>-112.16539997221092</v>
      </c>
      <c r="AE517" s="169">
        <f t="shared" si="298"/>
        <v>65.01724513180055</v>
      </c>
      <c r="AF517" s="98" t="str">
        <f t="shared" si="284"/>
        <v>-0.0000119284294234592</v>
      </c>
      <c r="AG517" s="98" t="str">
        <f t="shared" si="285"/>
        <v>0.0343984186283023i</v>
      </c>
      <c r="AH517" s="98">
        <f t="shared" si="299"/>
        <v>3.4398418628302299E-2</v>
      </c>
      <c r="AI517" s="98">
        <f t="shared" si="300"/>
        <v>1.5707963267948966</v>
      </c>
      <c r="AJ517" s="98" t="str">
        <f t="shared" si="286"/>
        <v>1+29.7067162382936i</v>
      </c>
      <c r="AK517" s="98">
        <f t="shared" si="301"/>
        <v>29.72354268357822</v>
      </c>
      <c r="AL517" s="98">
        <f t="shared" si="302"/>
        <v>1.5371466117255619</v>
      </c>
      <c r="AM517" s="98" t="str">
        <f t="shared" si="287"/>
        <v>1+75646.8025955311i</v>
      </c>
      <c r="AN517" s="98">
        <f t="shared" si="303"/>
        <v>75646.802602140757</v>
      </c>
      <c r="AO517" s="98">
        <f t="shared" si="304"/>
        <v>1.5707831074655181</v>
      </c>
      <c r="AP517" s="168" t="str">
        <f t="shared" si="305"/>
        <v>-0.0296799824789472+0.88204159007007i</v>
      </c>
      <c r="AQ517" s="98">
        <f t="shared" si="306"/>
        <v>-1.0853041354518891</v>
      </c>
      <c r="AR517" s="169">
        <f t="shared" si="307"/>
        <v>91.92722924350926</v>
      </c>
      <c r="AS517" s="168" t="str">
        <f t="shared" si="308"/>
        <v>-2.00129903016979E-06+8.51790900827453E-07i</v>
      </c>
      <c r="AT517" s="190">
        <f t="shared" si="309"/>
        <v>-113.2507041076628</v>
      </c>
      <c r="AU517" s="169">
        <f t="shared" si="310"/>
        <v>156.94447437530985</v>
      </c>
      <c r="AV517" s="225"/>
      <c r="AX517">
        <f t="shared" si="311"/>
        <v>0</v>
      </c>
      <c r="AY517">
        <f t="shared" si="312"/>
        <v>0</v>
      </c>
    </row>
    <row r="518" spans="14:51" x14ac:dyDescent="0.2">
      <c r="N518" s="170">
        <v>100</v>
      </c>
      <c r="O518" s="199">
        <f t="shared" si="313"/>
        <v>1000000</v>
      </c>
      <c r="P518" s="189" t="str">
        <f t="shared" si="279"/>
        <v>771.276595744681</v>
      </c>
      <c r="Q518" s="160" t="str">
        <f t="shared" si="280"/>
        <v>1+6408849.01332318i</v>
      </c>
      <c r="R518" s="160">
        <f t="shared" si="288"/>
        <v>6408849.0133232586</v>
      </c>
      <c r="S518" s="160">
        <f t="shared" si="289"/>
        <v>1.5707961707606386</v>
      </c>
      <c r="T518" s="160" t="str">
        <f t="shared" si="281"/>
        <v>1+1.5079644737231i</v>
      </c>
      <c r="U518" s="160">
        <f t="shared" si="290"/>
        <v>1.8094078738667481</v>
      </c>
      <c r="V518" s="160">
        <f t="shared" si="291"/>
        <v>0.9852353504726904</v>
      </c>
      <c r="W518" s="98" t="str">
        <f t="shared" si="282"/>
        <v>1-4.27256600888211i</v>
      </c>
      <c r="X518" s="160">
        <f t="shared" si="292"/>
        <v>4.3880314835077012</v>
      </c>
      <c r="Y518" s="160">
        <f t="shared" si="293"/>
        <v>-1.3408835237172787</v>
      </c>
      <c r="Z518" s="98" t="str">
        <f t="shared" si="283"/>
        <v>-399.000000000001-29.2534570395009i</v>
      </c>
      <c r="AA518" s="160">
        <f t="shared" si="294"/>
        <v>400.07094964363853</v>
      </c>
      <c r="AB518" s="160">
        <f t="shared" si="295"/>
        <v>-3.0684066652034216</v>
      </c>
      <c r="AC518" s="171" t="str">
        <f t="shared" si="296"/>
        <v>9.93104469200517E-07+2.17209445646933E-06i</v>
      </c>
      <c r="AD518" s="190">
        <f t="shared" si="297"/>
        <v>-112.4380138690982</v>
      </c>
      <c r="AE518" s="169">
        <f t="shared" si="298"/>
        <v>65.429621367619518</v>
      </c>
      <c r="AF518" s="98" t="str">
        <f t="shared" si="284"/>
        <v>-0.0000119284294234592</v>
      </c>
      <c r="AG518" s="98" t="str">
        <f t="shared" si="285"/>
        <v>0.0351996607278815i</v>
      </c>
      <c r="AH518" s="98">
        <f t="shared" si="299"/>
        <v>3.5199660727881499E-2</v>
      </c>
      <c r="AI518" s="98">
        <f t="shared" si="300"/>
        <v>1.5707963267948966</v>
      </c>
      <c r="AJ518" s="98" t="str">
        <f t="shared" si="286"/>
        <v>1+30.3986745503187i</v>
      </c>
      <c r="AK518" s="98">
        <f t="shared" si="301"/>
        <v>30.415118188430466</v>
      </c>
      <c r="AL518" s="98">
        <f t="shared" si="302"/>
        <v>1.5379120142562235</v>
      </c>
      <c r="AM518" s="98" t="str">
        <f t="shared" si="287"/>
        <v>1+77408.8429844525i</v>
      </c>
      <c r="AN518" s="98">
        <f t="shared" si="303"/>
        <v>77408.842990911711</v>
      </c>
      <c r="AO518" s="98">
        <f t="shared" si="304"/>
        <v>1.5707834083741918</v>
      </c>
      <c r="AP518" s="168" t="str">
        <f t="shared" si="305"/>
        <v>-0.028345607225596+0.862007768084204i</v>
      </c>
      <c r="AQ518" s="98">
        <f t="shared" si="306"/>
        <v>-1.2850828880266982</v>
      </c>
      <c r="AR518" s="169">
        <f t="shared" si="307"/>
        <v>91.88339214967074</v>
      </c>
      <c r="AS518" s="168" t="str">
        <f t="shared" si="308"/>
        <v>-1.90051244370714E-06+7.94494430650012E-07i</v>
      </c>
      <c r="AT518" s="190">
        <f t="shared" si="309"/>
        <v>-113.72309675712489</v>
      </c>
      <c r="AU518" s="169">
        <f t="shared" si="310"/>
        <v>157.31301351729024</v>
      </c>
      <c r="AV518" s="225"/>
      <c r="AX518">
        <f t="shared" si="311"/>
        <v>0</v>
      </c>
      <c r="AY518">
        <f t="shared" si="312"/>
        <v>0</v>
      </c>
    </row>
    <row r="519" spans="14:51" x14ac:dyDescent="0.2">
      <c r="N519" s="170">
        <v>1</v>
      </c>
      <c r="O519" s="199">
        <f>10^(6+(N519/100))</f>
        <v>1023292.9922807553</v>
      </c>
      <c r="P519" s="189" t="str">
        <f t="shared" si="279"/>
        <v>771.276595744681</v>
      </c>
      <c r="Q519" s="160" t="str">
        <f t="shared" si="280"/>
        <v>1+6558130.28391905i</v>
      </c>
      <c r="R519" s="160">
        <f t="shared" si="288"/>
        <v>6558130.2839191258</v>
      </c>
      <c r="S519" s="160">
        <f t="shared" si="289"/>
        <v>1.5707961743124119</v>
      </c>
      <c r="T519" s="160" t="str">
        <f t="shared" si="281"/>
        <v>1+1.54308947856919i</v>
      </c>
      <c r="U519" s="160">
        <f t="shared" si="290"/>
        <v>1.8387836030569054</v>
      </c>
      <c r="V519" s="160">
        <f t="shared" si="291"/>
        <v>0.99579275985159965</v>
      </c>
      <c r="W519" s="98" t="str">
        <f t="shared" si="282"/>
        <v>1-4.37208685594602i</v>
      </c>
      <c r="X519" s="160">
        <f t="shared" si="292"/>
        <v>4.4849909114663715</v>
      </c>
      <c r="Y519" s="160">
        <f t="shared" si="293"/>
        <v>-1.3459404265935782</v>
      </c>
      <c r="Z519" s="98" t="str">
        <f t="shared" si="283"/>
        <v>-417.851419220362-29.9348575885073i</v>
      </c>
      <c r="AA519" s="160">
        <f t="shared" si="294"/>
        <v>418.92231289740931</v>
      </c>
      <c r="AB519" s="160">
        <f t="shared" si="295"/>
        <v>-3.0700748796968815</v>
      </c>
      <c r="AC519" s="171" t="str">
        <f t="shared" si="296"/>
        <v>9.47566728086948E-07+2.11240991416342E-06i</v>
      </c>
      <c r="AD519" s="190">
        <f t="shared" si="297"/>
        <v>-112.70822380203472</v>
      </c>
      <c r="AE519" s="169">
        <f t="shared" si="298"/>
        <v>65.840358621699508</v>
      </c>
      <c r="AF519" s="98" t="str">
        <f t="shared" si="284"/>
        <v>-0.0000119284294234592</v>
      </c>
      <c r="AG519" s="98" t="str">
        <f t="shared" si="285"/>
        <v>0.0360195661535012i</v>
      </c>
      <c r="AH519" s="98">
        <f t="shared" si="299"/>
        <v>3.6019566153501201E-2</v>
      </c>
      <c r="AI519" s="98">
        <f t="shared" si="300"/>
        <v>1.5707963267948966</v>
      </c>
      <c r="AJ519" s="98" t="str">
        <f t="shared" si="286"/>
        <v>1+31.1067506419645i</v>
      </c>
      <c r="AK519" s="98">
        <f t="shared" si="301"/>
        <v>31.122820172686133</v>
      </c>
      <c r="AL519" s="98">
        <f t="shared" si="302"/>
        <v>1.5386600313444132</v>
      </c>
      <c r="AM519" s="98" t="str">
        <f t="shared" si="287"/>
        <v>1+79211.9265665516i</v>
      </c>
      <c r="AN519" s="98">
        <f t="shared" si="303"/>
        <v>79211.926572863769</v>
      </c>
      <c r="AO519" s="98">
        <f t="shared" si="304"/>
        <v>1.570783702433348</v>
      </c>
      <c r="AP519" s="168" t="str">
        <f t="shared" si="305"/>
        <v>-0.0270711618260622+0.842427045783615i</v>
      </c>
      <c r="AQ519" s="98">
        <f t="shared" si="306"/>
        <v>-1.4848715878538132</v>
      </c>
      <c r="AR519" s="169">
        <f t="shared" si="307"/>
        <v>91.840550775862368</v>
      </c>
      <c r="AS519" s="168" t="str">
        <f t="shared" si="308"/>
        <v>-1.80520297570974E-06+7.41070448795837E-07i</v>
      </c>
      <c r="AT519" s="190">
        <f t="shared" si="309"/>
        <v>-114.19309538988855</v>
      </c>
      <c r="AU519" s="169">
        <f t="shared" si="310"/>
        <v>157.68090939756186</v>
      </c>
      <c r="AV519" s="225"/>
      <c r="AX519">
        <f t="shared" si="311"/>
        <v>0</v>
      </c>
      <c r="AY519">
        <f t="shared" si="312"/>
        <v>0</v>
      </c>
    </row>
    <row r="520" spans="14:51" x14ac:dyDescent="0.2">
      <c r="N520" s="170">
        <v>2</v>
      </c>
      <c r="O520" s="199">
        <f t="shared" ref="O520:O560" si="314">10^(6+(N520/100))</f>
        <v>1047128.5480509007</v>
      </c>
      <c r="P520" s="189" t="str">
        <f t="shared" si="279"/>
        <v>771.276595744681</v>
      </c>
      <c r="Q520" s="160" t="str">
        <f t="shared" si="280"/>
        <v>1+6710888.76199855i</v>
      </c>
      <c r="R520" s="160">
        <f t="shared" si="288"/>
        <v>6710888.7619986245</v>
      </c>
      <c r="S520" s="160">
        <f t="shared" si="289"/>
        <v>1.570796177783337</v>
      </c>
      <c r="T520" s="160" t="str">
        <f t="shared" si="281"/>
        <v>1+1.57903264988201i</v>
      </c>
      <c r="U520" s="160">
        <f t="shared" si="290"/>
        <v>1.8690489852846026</v>
      </c>
      <c r="V520" s="160">
        <f t="shared" si="291"/>
        <v>1.0062513466245355</v>
      </c>
      <c r="W520" s="98" t="str">
        <f t="shared" si="282"/>
        <v>1-4.47392584133236i</v>
      </c>
      <c r="X520" s="160">
        <f t="shared" si="292"/>
        <v>4.5843224617975409</v>
      </c>
      <c r="Y520" s="160">
        <f t="shared" si="293"/>
        <v>-1.350893549605799</v>
      </c>
      <c r="Z520" s="98" t="str">
        <f t="shared" si="283"/>
        <v>-437.591278457276-30.6321299952418i</v>
      </c>
      <c r="AA520" s="160">
        <f t="shared" si="294"/>
        <v>438.66211868580433</v>
      </c>
      <c r="AB520" s="160">
        <f t="shared" si="295"/>
        <v>-3.071704967981066</v>
      </c>
      <c r="AC520" s="171" t="str">
        <f t="shared" si="296"/>
        <v>9.04152447722543E-07+2.05476447552789E-06i</v>
      </c>
      <c r="AD520" s="190">
        <f t="shared" si="297"/>
        <v>-112.97608353728543</v>
      </c>
      <c r="AE520" s="169">
        <f t="shared" si="298"/>
        <v>66.249195439498806</v>
      </c>
      <c r="AF520" s="98" t="str">
        <f t="shared" si="284"/>
        <v>-0.0000119284294234592</v>
      </c>
      <c r="AG520" s="98" t="str">
        <f t="shared" si="285"/>
        <v>0.0368585696298708i</v>
      </c>
      <c r="AH520" s="98">
        <f t="shared" si="299"/>
        <v>3.6858569629870802E-2</v>
      </c>
      <c r="AI520" s="98">
        <f t="shared" si="300"/>
        <v>1.5707963267948966</v>
      </c>
      <c r="AJ520" s="98" t="str">
        <f t="shared" si="286"/>
        <v>1+31.831319944547i</v>
      </c>
      <c r="AK520" s="98">
        <f t="shared" si="301"/>
        <v>31.847023870561529</v>
      </c>
      <c r="AL520" s="98">
        <f t="shared" si="302"/>
        <v>1.5393910562484763</v>
      </c>
      <c r="AM520" s="98" t="str">
        <f t="shared" si="287"/>
        <v>1+81057.0093606098i</v>
      </c>
      <c r="AN520" s="98">
        <f t="shared" si="303"/>
        <v>81057.009366778293</v>
      </c>
      <c r="AO520" s="98">
        <f t="shared" si="304"/>
        <v>1.5707839897989004</v>
      </c>
      <c r="AP520" s="168" t="str">
        <f t="shared" si="305"/>
        <v>-0.0258539601437757+0.8232893042002i</v>
      </c>
      <c r="AQ520" s="98">
        <f t="shared" si="306"/>
        <v>-1.6846697881578307</v>
      </c>
      <c r="AR520" s="169">
        <f t="shared" si="307"/>
        <v>91.79868259897394</v>
      </c>
      <c r="AS520" s="168" t="str">
        <f t="shared" si="308"/>
        <v>-1.71504153669996E-06+6.91255240721256E-07i</v>
      </c>
      <c r="AT520" s="190">
        <f t="shared" si="309"/>
        <v>-114.66075332544328</v>
      </c>
      <c r="AU520" s="169">
        <f t="shared" si="310"/>
        <v>158.04787803847273</v>
      </c>
      <c r="AV520" s="225"/>
      <c r="AX520">
        <f t="shared" si="311"/>
        <v>0</v>
      </c>
      <c r="AY520">
        <f t="shared" si="312"/>
        <v>0</v>
      </c>
    </row>
    <row r="521" spans="14:51" x14ac:dyDescent="0.2">
      <c r="N521" s="170">
        <v>3</v>
      </c>
      <c r="O521" s="199">
        <f t="shared" si="314"/>
        <v>1071519.3052376076</v>
      </c>
      <c r="P521" s="189" t="str">
        <f t="shared" si="279"/>
        <v>771.276595744681</v>
      </c>
      <c r="Q521" s="160" t="str">
        <f t="shared" si="280"/>
        <v>1+6867205.44212878i</v>
      </c>
      <c r="R521" s="160">
        <f t="shared" si="288"/>
        <v>6867205.442128852</v>
      </c>
      <c r="S521" s="160">
        <f t="shared" si="289"/>
        <v>1.5707961811752544</v>
      </c>
      <c r="T521" s="160" t="str">
        <f t="shared" si="281"/>
        <v>1+1.61581304520677i</v>
      </c>
      <c r="U521" s="160">
        <f t="shared" si="290"/>
        <v>1.9002241438999705</v>
      </c>
      <c r="V521" s="160">
        <f t="shared" si="291"/>
        <v>1.0166075039694225</v>
      </c>
      <c r="W521" s="98" t="str">
        <f t="shared" si="282"/>
        <v>1-4.57813696141918i</v>
      </c>
      <c r="X521" s="160">
        <f t="shared" si="292"/>
        <v>4.6860791753354363</v>
      </c>
      <c r="Y521" s="160">
        <f t="shared" si="293"/>
        <v>-1.3557445463894975</v>
      </c>
      <c r="Z521" s="98" t="str">
        <f t="shared" si="283"/>
        <v>-458.261448598754-31.345643962764i</v>
      </c>
      <c r="AA521" s="160">
        <f t="shared" si="294"/>
        <v>459.33223778357723</v>
      </c>
      <c r="AB521" s="160">
        <f t="shared" si="295"/>
        <v>-3.0732978080869131</v>
      </c>
      <c r="AC521" s="171" t="str">
        <f t="shared" si="296"/>
        <v>8.62759557992257E-07+1.99906663734186E-06i</v>
      </c>
      <c r="AD521" s="190">
        <f t="shared" si="297"/>
        <v>-113.24164720422543</v>
      </c>
      <c r="AE521" s="169">
        <f t="shared" si="298"/>
        <v>66.655880726358461</v>
      </c>
      <c r="AF521" s="98" t="str">
        <f t="shared" si="284"/>
        <v>-0.0000119284294234592</v>
      </c>
      <c r="AG521" s="98" t="str">
        <f t="shared" si="285"/>
        <v>0.0377171160077391i</v>
      </c>
      <c r="AH521" s="98">
        <f t="shared" si="299"/>
        <v>3.7717116007739103E-2</v>
      </c>
      <c r="AI521" s="98">
        <f t="shared" si="300"/>
        <v>1.5707963267948966</v>
      </c>
      <c r="AJ521" s="98" t="str">
        <f t="shared" si="286"/>
        <v>1+32.5727666343016i</v>
      </c>
      <c r="AK521" s="98">
        <f t="shared" si="301"/>
        <v>32.588113265616833</v>
      </c>
      <c r="AL521" s="98">
        <f t="shared" si="302"/>
        <v>1.5401054734404442</v>
      </c>
      <c r="AM521" s="98" t="str">
        <f t="shared" si="287"/>
        <v>1+82945.0696539475i</v>
      </c>
      <c r="AN521" s="98">
        <f t="shared" si="303"/>
        <v>82945.06965997559</v>
      </c>
      <c r="AO521" s="98">
        <f t="shared" si="304"/>
        <v>1.5707842706232142</v>
      </c>
      <c r="AP521" s="168" t="str">
        <f t="shared" si="305"/>
        <v>-0.0246914359592211+0.804584641745044i</v>
      </c>
      <c r="AQ521" s="98">
        <f t="shared" si="306"/>
        <v>-1.884477062190709</v>
      </c>
      <c r="AR521" s="169">
        <f t="shared" si="307"/>
        <v>91.757765599110556</v>
      </c>
      <c r="AS521" s="168" t="str">
        <f t="shared" si="308"/>
        <v>-1.62972108660454E-06+6.44803264025171E-07i</v>
      </c>
      <c r="AT521" s="190">
        <f t="shared" si="309"/>
        <v>-115.12612426641613</v>
      </c>
      <c r="AU521" s="169">
        <f t="shared" si="310"/>
        <v>158.41364632546899</v>
      </c>
      <c r="AV521" s="225"/>
      <c r="AX521">
        <f t="shared" si="311"/>
        <v>0</v>
      </c>
      <c r="AY521">
        <f t="shared" si="312"/>
        <v>0</v>
      </c>
    </row>
    <row r="522" spans="14:51" x14ac:dyDescent="0.2">
      <c r="N522" s="170">
        <v>4</v>
      </c>
      <c r="O522" s="199">
        <f t="shared" si="314"/>
        <v>1096478.196143186</v>
      </c>
      <c r="P522" s="189" t="str">
        <f t="shared" si="279"/>
        <v>771.276595744681</v>
      </c>
      <c r="Q522" s="160" t="str">
        <f t="shared" si="280"/>
        <v>1+7027163.20548263i</v>
      </c>
      <c r="R522" s="160">
        <f t="shared" si="288"/>
        <v>7027163.2054826999</v>
      </c>
      <c r="S522" s="160">
        <f t="shared" si="289"/>
        <v>1.5707961844899621</v>
      </c>
      <c r="T522" s="160" t="str">
        <f t="shared" si="281"/>
        <v>1+1.65345016599591i</v>
      </c>
      <c r="U522" s="160">
        <f t="shared" si="290"/>
        <v>1.9323295400712328</v>
      </c>
      <c r="V522" s="160">
        <f t="shared" si="291"/>
        <v>1.0268578369369938</v>
      </c>
      <c r="W522" s="98" t="str">
        <f t="shared" si="282"/>
        <v>1-4.68477547032175i</v>
      </c>
      <c r="X522" s="160">
        <f t="shared" si="292"/>
        <v>4.7903153557285103</v>
      </c>
      <c r="Y522" s="160">
        <f t="shared" si="293"/>
        <v>-1.3604950753544223</v>
      </c>
      <c r="Z522" s="98" t="str">
        <f t="shared" si="283"/>
        <v>-479.905773846967-32.075777805624i</v>
      </c>
      <c r="AA522" s="160">
        <f t="shared" si="294"/>
        <v>480.97651428473307</v>
      </c>
      <c r="AB522" s="160">
        <f t="shared" si="295"/>
        <v>-3.0748542573843691</v>
      </c>
      <c r="AC522" s="171" t="str">
        <f t="shared" si="296"/>
        <v>8.23291153728351E-07+1.94522995225186E-06i</v>
      </c>
      <c r="AD522" s="190">
        <f t="shared" si="297"/>
        <v>-113.50496919723301</v>
      </c>
      <c r="AE522" s="169">
        <f t="shared" si="298"/>
        <v>67.060174069710783</v>
      </c>
      <c r="AF522" s="98" t="str">
        <f t="shared" si="284"/>
        <v>-0.0000119284294234592</v>
      </c>
      <c r="AG522" s="98" t="str">
        <f t="shared" si="285"/>
        <v>0.0385956604997596i</v>
      </c>
      <c r="AH522" s="98">
        <f t="shared" si="299"/>
        <v>3.8595660499759599E-2</v>
      </c>
      <c r="AI522" s="98">
        <f t="shared" si="300"/>
        <v>1.5707963267948966</v>
      </c>
      <c r="AJ522" s="98" t="str">
        <f t="shared" si="286"/>
        <v>1+33.3314838360772i</v>
      </c>
      <c r="AK522" s="98">
        <f t="shared" si="301"/>
        <v>33.346481294353609</v>
      </c>
      <c r="AL522" s="98">
        <f t="shared" si="302"/>
        <v>1.5408036587950376</v>
      </c>
      <c r="AM522" s="98" t="str">
        <f t="shared" si="287"/>
        <v>1+84877.1085211235i</v>
      </c>
      <c r="AN522" s="98">
        <f t="shared" si="303"/>
        <v>84877.108527014381</v>
      </c>
      <c r="AO522" s="98">
        <f t="shared" si="304"/>
        <v>1.5707845450551863</v>
      </c>
      <c r="AP522" s="168" t="str">
        <f t="shared" si="305"/>
        <v>-0.0235811376586477+0.786303370119922i</v>
      </c>
      <c r="AQ522" s="98">
        <f t="shared" si="306"/>
        <v>-2.0842930023366937</v>
      </c>
      <c r="AR522" s="169">
        <f t="shared" si="307"/>
        <v>91.717778248768283</v>
      </c>
      <c r="AS522" s="168" t="str">
        <f t="shared" si="308"/>
        <v>-1.54895500914307E-06+6.01485873484746E-07i</v>
      </c>
      <c r="AT522" s="190">
        <f t="shared" si="309"/>
        <v>-115.5892621995697</v>
      </c>
      <c r="AU522" s="169">
        <f t="shared" si="310"/>
        <v>158.77795231847909</v>
      </c>
      <c r="AV522" s="225"/>
      <c r="AX522">
        <f t="shared" si="311"/>
        <v>0</v>
      </c>
      <c r="AY522">
        <f t="shared" si="312"/>
        <v>0</v>
      </c>
    </row>
    <row r="523" spans="14:51" x14ac:dyDescent="0.2">
      <c r="N523" s="170">
        <v>5</v>
      </c>
      <c r="O523" s="199">
        <f t="shared" si="314"/>
        <v>1122018.4543019643</v>
      </c>
      <c r="P523" s="189" t="str">
        <f t="shared" si="279"/>
        <v>771.276595744681</v>
      </c>
      <c r="Q523" s="160" t="str">
        <f t="shared" si="280"/>
        <v>1+7190846.86378354i</v>
      </c>
      <c r="R523" s="160">
        <f t="shared" si="288"/>
        <v>7190846.8637836091</v>
      </c>
      <c r="S523" s="160">
        <f t="shared" si="289"/>
        <v>1.5707961877292178</v>
      </c>
      <c r="T523" s="160" t="str">
        <f t="shared" si="281"/>
        <v>1+1.69196396794907i</v>
      </c>
      <c r="U523" s="160">
        <f t="shared" si="290"/>
        <v>1.9653859846956174</v>
      </c>
      <c r="V523" s="160">
        <f t="shared" si="291"/>
        <v>1.0369991640028358</v>
      </c>
      <c r="W523" s="98" t="str">
        <f t="shared" si="282"/>
        <v>1-4.79389790918902i</v>
      </c>
      <c r="X523" s="160">
        <f t="shared" si="292"/>
        <v>4.897086599573961</v>
      </c>
      <c r="Y523" s="160">
        <f t="shared" si="293"/>
        <v>-1.3651467972365716</v>
      </c>
      <c r="Z523" s="98" t="str">
        <f t="shared" si="283"/>
        <v>-502.570164717668-32.8229186504496i</v>
      </c>
      <c r="AA523" s="160">
        <f t="shared" si="294"/>
        <v>503.64085860172025</v>
      </c>
      <c r="AB523" s="160">
        <f t="shared" si="295"/>
        <v>-3.0763751530972328</v>
      </c>
      <c r="AC523" s="171" t="str">
        <f t="shared" si="296"/>
        <v>7.8565521210574E-07+1.89317271922034E-06i</v>
      </c>
      <c r="AD523" s="190">
        <f t="shared" si="297"/>
        <v>-113.76610407882934</v>
      </c>
      <c r="AE523" s="169">
        <f t="shared" si="298"/>
        <v>67.46184599776042</v>
      </c>
      <c r="AF523" s="98" t="str">
        <f t="shared" si="284"/>
        <v>-0.0000119284294234592</v>
      </c>
      <c r="AG523" s="98" t="str">
        <f t="shared" si="285"/>
        <v>0.0394946689218511i</v>
      </c>
      <c r="AH523" s="98">
        <f t="shared" si="299"/>
        <v>3.9494668921851099E-2</v>
      </c>
      <c r="AI523" s="98">
        <f t="shared" si="300"/>
        <v>1.5707963267948966</v>
      </c>
      <c r="AJ523" s="98" t="str">
        <f t="shared" si="286"/>
        <v>1+34.107873831777i</v>
      </c>
      <c r="AK523" s="98">
        <f t="shared" si="301"/>
        <v>34.12253005456099</v>
      </c>
      <c r="AL523" s="98">
        <f t="shared" si="302"/>
        <v>1.5414859797751004</v>
      </c>
      <c r="AM523" s="98" t="str">
        <f t="shared" si="287"/>
        <v>1+86854.1503547188i</v>
      </c>
      <c r="AN523" s="98">
        <f t="shared" si="303"/>
        <v>86854.150360475585</v>
      </c>
      <c r="AO523" s="98">
        <f t="shared" si="304"/>
        <v>1.5707848132403242</v>
      </c>
      <c r="AP523" s="168" t="str">
        <f t="shared" si="305"/>
        <v>-0.0225207231542988+0.768436010264908i</v>
      </c>
      <c r="AQ523" s="98">
        <f t="shared" si="306"/>
        <v>-2.2841172192584875</v>
      </c>
      <c r="AR523" s="169">
        <f t="shared" si="307"/>
        <v>91.678699502213973</v>
      </c>
      <c r="AS523" s="168" t="str">
        <f t="shared" si="308"/>
        <v>-1.47247561462661E-06+5.61090137941533E-07i</v>
      </c>
      <c r="AT523" s="190">
        <f t="shared" si="309"/>
        <v>-116.05022129808785</v>
      </c>
      <c r="AU523" s="169">
        <f t="shared" si="310"/>
        <v>159.14054549997437</v>
      </c>
      <c r="AV523" s="225"/>
      <c r="AX523">
        <f t="shared" si="311"/>
        <v>0</v>
      </c>
      <c r="AY523">
        <f t="shared" si="312"/>
        <v>0</v>
      </c>
    </row>
    <row r="524" spans="14:51" x14ac:dyDescent="0.2">
      <c r="N524" s="170">
        <v>6</v>
      </c>
      <c r="O524" s="199">
        <f t="shared" si="314"/>
        <v>1148153.6214968837</v>
      </c>
      <c r="P524" s="189" t="str">
        <f t="shared" si="279"/>
        <v>771.276595744681</v>
      </c>
      <c r="Q524" s="160" t="str">
        <f t="shared" si="280"/>
        <v>1+7358343.20427374i</v>
      </c>
      <c r="R524" s="160">
        <f t="shared" si="288"/>
        <v>7358343.2042738069</v>
      </c>
      <c r="S524" s="160">
        <f t="shared" si="289"/>
        <v>1.5707961908947392</v>
      </c>
      <c r="T524" s="160" t="str">
        <f t="shared" si="281"/>
        <v>1+1.73137487159382i</v>
      </c>
      <c r="U524" s="160">
        <f t="shared" si="290"/>
        <v>1.9994146508382187</v>
      </c>
      <c r="V524" s="160">
        <f t="shared" si="291"/>
        <v>1.0470285177302299</v>
      </c>
      <c r="W524" s="98" t="str">
        <f t="shared" si="282"/>
        <v>1-4.90556213618248i</v>
      </c>
      <c r="X524" s="160">
        <f t="shared" si="292"/>
        <v>5.006449827167673</v>
      </c>
      <c r="Y524" s="160">
        <f t="shared" si="293"/>
        <v>-1.3697013728141509</v>
      </c>
      <c r="Z524" s="98" t="str">
        <f t="shared" si="283"/>
        <v>-526.302695422564-33.5874626412063i</v>
      </c>
      <c r="AA524" s="160">
        <f t="shared" si="294"/>
        <v>527.37334484758583</v>
      </c>
      <c r="AB524" s="160">
        <f t="shared" si="295"/>
        <v>-3.0778613128033636</v>
      </c>
      <c r="AC524" s="171" t="str">
        <f t="shared" si="296"/>
        <v>7.4976432715548E-07+1.84281769356688E-06i</v>
      </c>
      <c r="AD524" s="190">
        <f t="shared" si="297"/>
        <v>-114.02510648459476</v>
      </c>
      <c r="AE524" s="169">
        <f t="shared" si="298"/>
        <v>67.860678176987989</v>
      </c>
      <c r="AF524" s="98" t="str">
        <f t="shared" si="284"/>
        <v>-0.0000119284294234592</v>
      </c>
      <c r="AG524" s="98" t="str">
        <f t="shared" si="285"/>
        <v>0.0404146179401787i</v>
      </c>
      <c r="AH524" s="98">
        <f t="shared" si="299"/>
        <v>4.0414617940178699E-2</v>
      </c>
      <c r="AI524" s="98">
        <f t="shared" si="300"/>
        <v>1.5707963267948966</v>
      </c>
      <c r="AJ524" s="98" t="str">
        <f t="shared" si="286"/>
        <v>1+34.9023482736535i</v>
      </c>
      <c r="AK524" s="98">
        <f t="shared" si="301"/>
        <v>34.916671018517839</v>
      </c>
      <c r="AL524" s="98">
        <f t="shared" si="302"/>
        <v>1.5421527956134924</v>
      </c>
      <c r="AM524" s="98" t="str">
        <f t="shared" si="287"/>
        <v>1+88877.2434084827i</v>
      </c>
      <c r="AN524" s="98">
        <f t="shared" si="303"/>
        <v>88877.243414108438</v>
      </c>
      <c r="AO524" s="98">
        <f t="shared" si="304"/>
        <v>1.5707850753208228</v>
      </c>
      <c r="AP524" s="168" t="str">
        <f t="shared" si="305"/>
        <v>-0.0215079550264118+0.750973288345271i</v>
      </c>
      <c r="AQ524" s="98">
        <f t="shared" si="306"/>
        <v>-2.4839493410800118</v>
      </c>
      <c r="AR524" s="169">
        <f t="shared" si="307"/>
        <v>91.640508785068107</v>
      </c>
      <c r="AS524" s="168" t="str">
        <f t="shared" si="308"/>
        <v>-1.40003276058764E-06+5.23417742172818E-07i</v>
      </c>
      <c r="AT524" s="190">
        <f t="shared" si="309"/>
        <v>-116.50905582567475</v>
      </c>
      <c r="AU524" s="169">
        <f t="shared" si="310"/>
        <v>159.50118696205615</v>
      </c>
      <c r="AV524" s="225"/>
      <c r="AX524">
        <f t="shared" si="311"/>
        <v>0</v>
      </c>
      <c r="AY524">
        <f t="shared" si="312"/>
        <v>0</v>
      </c>
    </row>
    <row r="525" spans="14:51" x14ac:dyDescent="0.2">
      <c r="N525" s="170">
        <v>7</v>
      </c>
      <c r="O525" s="199">
        <f t="shared" si="314"/>
        <v>1174897.5549395324</v>
      </c>
      <c r="P525" s="189" t="str">
        <f t="shared" si="279"/>
        <v>771.276595744681</v>
      </c>
      <c r="Q525" s="160" t="str">
        <f t="shared" si="280"/>
        <v>1+7529741.03573004i</v>
      </c>
      <c r="R525" s="160">
        <f t="shared" si="288"/>
        <v>7529741.0357301049</v>
      </c>
      <c r="S525" s="160">
        <f t="shared" si="289"/>
        <v>1.5707961939882045</v>
      </c>
      <c r="T525" s="160" t="str">
        <f t="shared" si="281"/>
        <v>1+1.77170377311295i</v>
      </c>
      <c r="U525" s="160">
        <f t="shared" si="290"/>
        <v>2.0344370866808985</v>
      </c>
      <c r="V525" s="160">
        <f t="shared" si="291"/>
        <v>1.0569431445832265</v>
      </c>
      <c r="W525" s="98" t="str">
        <f t="shared" si="282"/>
        <v>1-5.01982735715335i</v>
      </c>
      <c r="X525" s="160">
        <f t="shared" si="292"/>
        <v>5.1184633138887676</v>
      </c>
      <c r="Y525" s="160">
        <f t="shared" si="293"/>
        <v>-1.3741604607809366</v>
      </c>
      <c r="Z525" s="98" t="str">
        <f t="shared" si="283"/>
        <v>-551.153705841158-34.3698151492381i</v>
      </c>
      <c r="AA525" s="160">
        <f t="shared" si="294"/>
        <v>552.22431280760759</v>
      </c>
      <c r="AB525" s="160">
        <f t="shared" si="295"/>
        <v>-3.0793135349207703</v>
      </c>
      <c r="AC525" s="171" t="str">
        <f t="shared" si="296"/>
        <v>7.15535460240656E-07+0.0000017940918153663i</v>
      </c>
      <c r="AD525" s="190">
        <f t="shared" si="297"/>
        <v>-114.28203103035074</v>
      </c>
      <c r="AE525" s="169">
        <f t="shared" si="298"/>
        <v>68.256463551137827</v>
      </c>
      <c r="AF525" s="98" t="str">
        <f t="shared" si="284"/>
        <v>-0.0000119284294234592</v>
      </c>
      <c r="AG525" s="98" t="str">
        <f t="shared" si="285"/>
        <v>0.041355995323889i</v>
      </c>
      <c r="AH525" s="98">
        <f t="shared" si="299"/>
        <v>4.1355995323888999E-2</v>
      </c>
      <c r="AI525" s="98">
        <f t="shared" si="300"/>
        <v>1.5707963267948966</v>
      </c>
      <c r="AJ525" s="98" t="str">
        <f t="shared" si="286"/>
        <v>1+35.715328402572i</v>
      </c>
      <c r="AK525" s="98">
        <f t="shared" si="301"/>
        <v>35.729325251165413</v>
      </c>
      <c r="AL525" s="98">
        <f t="shared" si="302"/>
        <v>1.5428044574914785</v>
      </c>
      <c r="AM525" s="98" t="str">
        <f t="shared" si="287"/>
        <v>1+90947.4603531314i</v>
      </c>
      <c r="AN525" s="98">
        <f t="shared" si="303"/>
        <v>90947.46035862909</v>
      </c>
      <c r="AO525" s="98">
        <f t="shared" si="304"/>
        <v>1.570785331435641</v>
      </c>
      <c r="AP525" s="168" t="str">
        <f t="shared" si="305"/>
        <v>-0.0205406958776008+0.733906131780062i</v>
      </c>
      <c r="AQ525" s="98">
        <f t="shared" si="306"/>
        <v>-2.6837890126061743</v>
      </c>
      <c r="AR525" s="169">
        <f t="shared" si="307"/>
        <v>91.603185984088086</v>
      </c>
      <c r="AS525" s="168" t="str">
        <f t="shared" si="308"/>
        <v>-1.33139258055219E-06+4.88283967420754E-07i</v>
      </c>
      <c r="AT525" s="190">
        <f t="shared" si="309"/>
        <v>-116.96582004295693</v>
      </c>
      <c r="AU525" s="169">
        <f t="shared" si="310"/>
        <v>159.85964953522588</v>
      </c>
      <c r="AV525" s="225"/>
      <c r="AX525">
        <f t="shared" si="311"/>
        <v>0</v>
      </c>
      <c r="AY525">
        <f t="shared" si="312"/>
        <v>0</v>
      </c>
    </row>
    <row r="526" spans="14:51" x14ac:dyDescent="0.2">
      <c r="N526" s="170">
        <v>8</v>
      </c>
      <c r="O526" s="199">
        <f t="shared" si="314"/>
        <v>1202264.4346174158</v>
      </c>
      <c r="P526" s="189" t="str">
        <f t="shared" si="279"/>
        <v>771.276595744681</v>
      </c>
      <c r="Q526" s="160" t="str">
        <f t="shared" si="280"/>
        <v>1+7705131.23555138i</v>
      </c>
      <c r="R526" s="160">
        <f t="shared" si="288"/>
        <v>7705131.2355514448</v>
      </c>
      <c r="S526" s="160">
        <f t="shared" si="289"/>
        <v>1.5707961970112538</v>
      </c>
      <c r="T526" s="160" t="str">
        <f t="shared" si="281"/>
        <v>1+1.81297205542385i</v>
      </c>
      <c r="U526" s="160">
        <f t="shared" si="290"/>
        <v>2.0704752289626116</v>
      </c>
      <c r="V526" s="160">
        <f t="shared" si="291"/>
        <v>1.0667405039337436</v>
      </c>
      <c r="W526" s="98" t="str">
        <f t="shared" si="282"/>
        <v>1-5.13675415703424i</v>
      </c>
      <c r="X526" s="160">
        <f t="shared" si="292"/>
        <v>5.2331867222380417</v>
      </c>
      <c r="Y526" s="160">
        <f t="shared" si="293"/>
        <v>-1.3785257157704986</v>
      </c>
      <c r="Z526" s="98" t="str">
        <f t="shared" si="283"/>
        <v>-577.175908298375-35.1703909882003i</v>
      </c>
      <c r="AA526" s="160">
        <f t="shared" si="294"/>
        <v>578.24647471672245</v>
      </c>
      <c r="AB526" s="160">
        <f t="shared" si="295"/>
        <v>-3.0807325991800787</v>
      </c>
      <c r="AC526" s="171" t="str">
        <f t="shared" si="296"/>
        <v>6.82889705424603E-07+0.0000017469259550431i</v>
      </c>
      <c r="AD526" s="190">
        <f t="shared" si="297"/>
        <v>-114.53693222205493</v>
      </c>
      <c r="AE526" s="169">
        <f t="shared" si="298"/>
        <v>68.6490064246034</v>
      </c>
      <c r="AF526" s="98" t="str">
        <f t="shared" si="284"/>
        <v>-0.0000119284294234592</v>
      </c>
      <c r="AG526" s="98" t="str">
        <f t="shared" si="285"/>
        <v>0.0423193002037313i</v>
      </c>
      <c r="AH526" s="98">
        <f t="shared" si="299"/>
        <v>4.23193002037313E-2</v>
      </c>
      <c r="AI526" s="98">
        <f t="shared" si="300"/>
        <v>1.5707963267948966</v>
      </c>
      <c r="AJ526" s="98" t="str">
        <f t="shared" si="286"/>
        <v>1+36.5472452713577i</v>
      </c>
      <c r="AK526" s="98">
        <f t="shared" si="301"/>
        <v>36.56092363336542</v>
      </c>
      <c r="AL526" s="98">
        <f t="shared" si="302"/>
        <v>1.54344130871365</v>
      </c>
      <c r="AM526" s="98" t="str">
        <f t="shared" si="287"/>
        <v>1+93065.8988450911i</v>
      </c>
      <c r="AN526" s="98">
        <f t="shared" si="303"/>
        <v>93065.898850463636</v>
      </c>
      <c r="AO526" s="98">
        <f t="shared" si="304"/>
        <v>1.5707855817205743</v>
      </c>
      <c r="AP526" s="168" t="str">
        <f t="shared" si="305"/>
        <v>-0.0196169038906123+0.717225665314812i</v>
      </c>
      <c r="AQ526" s="98">
        <f t="shared" si="306"/>
        <v>-2.8836358945768445</v>
      </c>
      <c r="AR526" s="169">
        <f t="shared" si="307"/>
        <v>91.566711437150246</v>
      </c>
      <c r="AS526" s="168" t="str">
        <f t="shared" si="308"/>
        <v>-0.0000012663363120807+0.0000004555167447457i</v>
      </c>
      <c r="AT526" s="190">
        <f t="shared" si="309"/>
        <v>-117.42056811663178</v>
      </c>
      <c r="AU526" s="169">
        <f t="shared" si="310"/>
        <v>160.2157178617536</v>
      </c>
      <c r="AV526" s="225"/>
      <c r="AX526">
        <f t="shared" si="311"/>
        <v>0</v>
      </c>
      <c r="AY526">
        <f t="shared" si="312"/>
        <v>0</v>
      </c>
    </row>
    <row r="527" spans="14:51" x14ac:dyDescent="0.2">
      <c r="N527" s="170">
        <v>9</v>
      </c>
      <c r="O527" s="199">
        <f t="shared" si="314"/>
        <v>1230268.770812382</v>
      </c>
      <c r="P527" s="189" t="str">
        <f t="shared" si="279"/>
        <v>771.276595744681</v>
      </c>
      <c r="Q527" s="160" t="str">
        <f t="shared" si="280"/>
        <v>1+7884606.79794326i</v>
      </c>
      <c r="R527" s="160">
        <f t="shared" si="288"/>
        <v>7884606.7979433229</v>
      </c>
      <c r="S527" s="160">
        <f t="shared" si="289"/>
        <v>1.5707961999654902</v>
      </c>
      <c r="T527" s="160" t="str">
        <f t="shared" si="281"/>
        <v>1+1.85520159951606i</v>
      </c>
      <c r="U527" s="160">
        <f t="shared" si="290"/>
        <v>2.1075514168928238</v>
      </c>
      <c r="V527" s="160">
        <f t="shared" si="291"/>
        <v>1.0764182663103055</v>
      </c>
      <c r="W527" s="98" t="str">
        <f t="shared" si="282"/>
        <v>1-5.25640453196216i</v>
      </c>
      <c r="X527" s="160">
        <f t="shared" si="292"/>
        <v>5.3506811345502854</v>
      </c>
      <c r="Y527" s="160">
        <f t="shared" si="293"/>
        <v>-1.3827987865247398</v>
      </c>
      <c r="Z527" s="98" t="str">
        <f t="shared" si="283"/>
        <v>-604.424499374485-35.9896146339995i</v>
      </c>
      <c r="AA527" s="160">
        <f t="shared" si="294"/>
        <v>605.49502706925728</v>
      </c>
      <c r="AB527" s="160">
        <f t="shared" si="295"/>
        <v>-3.0821192670838622</v>
      </c>
      <c r="AC527" s="171" t="str">
        <f t="shared" si="296"/>
        <v>6.51752068740282E-07+1.70125467507321E-06i</v>
      </c>
      <c r="AD527" s="190">
        <f t="shared" si="297"/>
        <v>-114.7898643688101</v>
      </c>
      <c r="AE527" s="169">
        <f t="shared" si="298"/>
        <v>69.038122493339927</v>
      </c>
      <c r="AF527" s="98" t="str">
        <f t="shared" si="284"/>
        <v>-0.0000119284294234592</v>
      </c>
      <c r="AG527" s="98" t="str">
        <f t="shared" si="285"/>
        <v>0.0433050433367036i</v>
      </c>
      <c r="AH527" s="98">
        <f t="shared" si="299"/>
        <v>4.3305043336703597E-2</v>
      </c>
      <c r="AI527" s="98">
        <f t="shared" si="300"/>
        <v>1.5707963267948966</v>
      </c>
      <c r="AJ527" s="98" t="str">
        <f t="shared" si="286"/>
        <v>1+37.3985399733462i</v>
      </c>
      <c r="AK527" s="98">
        <f t="shared" si="301"/>
        <v>37.411907090363279</v>
      </c>
      <c r="AL527" s="98">
        <f t="shared" si="302"/>
        <v>1.5440636848794218</v>
      </c>
      <c r="AM527" s="98" t="str">
        <f t="shared" si="287"/>
        <v>1+95233.682108491i</v>
      </c>
      <c r="AN527" s="98">
        <f t="shared" si="303"/>
        <v>95233.682113741248</v>
      </c>
      <c r="AO527" s="98">
        <f t="shared" si="304"/>
        <v>1.570785826308327</v>
      </c>
      <c r="AP527" s="168" t="str">
        <f t="shared" si="305"/>
        <v>-0.0187346285807987+0.700923207140313i</v>
      </c>
      <c r="AQ527" s="98">
        <f t="shared" si="306"/>
        <v>-3.0834896629543778</v>
      </c>
      <c r="AR527" s="169">
        <f t="shared" si="307"/>
        <v>91.531065923427946</v>
      </c>
      <c r="AS527" s="168" t="str">
        <f t="shared" si="308"/>
        <v>-1.20465921594938E-06+4.24955775822928E-07i</v>
      </c>
      <c r="AT527" s="190">
        <f t="shared" si="309"/>
        <v>-117.87335403176449</v>
      </c>
      <c r="AU527" s="169">
        <f t="shared" si="310"/>
        <v>160.56918841676784</v>
      </c>
      <c r="AV527" s="225"/>
      <c r="AX527">
        <f t="shared" si="311"/>
        <v>0</v>
      </c>
      <c r="AY527">
        <f t="shared" si="312"/>
        <v>0</v>
      </c>
    </row>
    <row r="528" spans="14:51" x14ac:dyDescent="0.2">
      <c r="N528" s="170">
        <v>10</v>
      </c>
      <c r="O528" s="199">
        <f t="shared" si="314"/>
        <v>1258925.4117941677</v>
      </c>
      <c r="P528" s="189" t="str">
        <f t="shared" si="279"/>
        <v>771.276595744681</v>
      </c>
      <c r="Q528" s="160" t="str">
        <f t="shared" si="280"/>
        <v>1+8068262.88322452i</v>
      </c>
      <c r="R528" s="160">
        <f t="shared" si="288"/>
        <v>8068262.8832245804</v>
      </c>
      <c r="S528" s="160">
        <f t="shared" si="289"/>
        <v>1.57079620285248</v>
      </c>
      <c r="T528" s="160" t="str">
        <f t="shared" si="281"/>
        <v>1+1.89841479605283i</v>
      </c>
      <c r="U528" s="160">
        <f t="shared" si="290"/>
        <v>2.1456884065195272</v>
      </c>
      <c r="V528" s="160">
        <f t="shared" si="291"/>
        <v>1.0859743109389151</v>
      </c>
      <c r="W528" s="98" t="str">
        <f t="shared" si="282"/>
        <v>1-5.37884192214967i</v>
      </c>
      <c r="X528" s="160">
        <f t="shared" si="292"/>
        <v>5.4710090864003096</v>
      </c>
      <c r="Y528" s="160">
        <f t="shared" si="293"/>
        <v>-1.3869813142002132</v>
      </c>
      <c r="Z528" s="98" t="str">
        <f t="shared" si="283"/>
        <v>-632.957276984447-36.8279204498565i</v>
      </c>
      <c r="AA528" s="160">
        <f t="shared" si="294"/>
        <v>634.02776769809293</v>
      </c>
      <c r="AB528" s="160">
        <f t="shared" si="295"/>
        <v>-3.0834742823532753</v>
      </c>
      <c r="AC528" s="171" t="str">
        <f t="shared" si="296"/>
        <v>6.2205126044238E-07+1.65701600677129E-06i</v>
      </c>
      <c r="AD528" s="190">
        <f t="shared" si="297"/>
        <v>-115.04088149934134</v>
      </c>
      <c r="AE528" s="169">
        <f t="shared" si="298"/>
        <v>69.423638826597468</v>
      </c>
      <c r="AF528" s="98" t="str">
        <f t="shared" si="284"/>
        <v>-0.0000119284294234592</v>
      </c>
      <c r="AG528" s="98" t="str">
        <f t="shared" si="285"/>
        <v>0.0443137473768632i</v>
      </c>
      <c r="AH528" s="98">
        <f t="shared" si="299"/>
        <v>4.4313747376863201E-2</v>
      </c>
      <c r="AI528" s="98">
        <f t="shared" si="300"/>
        <v>1.5707963267948966</v>
      </c>
      <c r="AJ528" s="98" t="str">
        <f t="shared" si="286"/>
        <v>1+38.2696638762568i</v>
      </c>
      <c r="AK528" s="98">
        <f t="shared" si="301"/>
        <v>38.282726825575978</v>
      </c>
      <c r="AL528" s="98">
        <f t="shared" si="302"/>
        <v>1.5446719140511409</v>
      </c>
      <c r="AM528" s="98" t="str">
        <f t="shared" si="287"/>
        <v>1+97451.9595307118i</v>
      </c>
      <c r="AN528" s="98">
        <f t="shared" si="303"/>
        <v>97451.959535842529</v>
      </c>
      <c r="AO528" s="98">
        <f t="shared" si="304"/>
        <v>1.5707860653285826</v>
      </c>
      <c r="AP528" s="168" t="str">
        <f t="shared" si="305"/>
        <v>-0.0178920067350043+0.684990265059335i</v>
      </c>
      <c r="AQ528" s="98">
        <f t="shared" si="306"/>
        <v>-3.2833500082426008</v>
      </c>
      <c r="AR528" s="169">
        <f t="shared" si="307"/>
        <v>91.496230653763561</v>
      </c>
      <c r="AS528" s="168" t="str">
        <f t="shared" si="308"/>
        <v>-1.14616957902718E-06+3.96451716217757E-07i</v>
      </c>
      <c r="AT528" s="190">
        <f t="shared" si="309"/>
        <v>-118.32423150758395</v>
      </c>
      <c r="AU528" s="169">
        <f t="shared" si="310"/>
        <v>160.91986948036103</v>
      </c>
      <c r="AV528" s="225"/>
      <c r="AX528">
        <f t="shared" si="311"/>
        <v>0</v>
      </c>
      <c r="AY528">
        <f t="shared" si="312"/>
        <v>0</v>
      </c>
    </row>
    <row r="529" spans="14:51" x14ac:dyDescent="0.2">
      <c r="N529" s="170">
        <v>11</v>
      </c>
      <c r="O529" s="199">
        <f t="shared" si="314"/>
        <v>1288249.5516931366</v>
      </c>
      <c r="P529" s="189" t="str">
        <f t="shared" si="279"/>
        <v>771.276595744681</v>
      </c>
      <c r="Q529" s="160" t="str">
        <f t="shared" si="280"/>
        <v>1+8256196.86828258i</v>
      </c>
      <c r="R529" s="160">
        <f t="shared" si="288"/>
        <v>8256196.8682826404</v>
      </c>
      <c r="S529" s="160">
        <f t="shared" si="289"/>
        <v>1.5707962056737539</v>
      </c>
      <c r="T529" s="160" t="str">
        <f t="shared" si="281"/>
        <v>1+1.94263455724296i</v>
      </c>
      <c r="U529" s="160">
        <f t="shared" si="290"/>
        <v>2.1849093855339978</v>
      </c>
      <c r="V529" s="160">
        <f t="shared" si="291"/>
        <v>1.0954067226288535</v>
      </c>
      <c r="W529" s="98" t="str">
        <f t="shared" si="282"/>
        <v>1-5.50413124552171i</v>
      </c>
      <c r="X529" s="160">
        <f t="shared" si="292"/>
        <v>5.5942346007231736</v>
      </c>
      <c r="Y529" s="160">
        <f t="shared" si="293"/>
        <v>-1.3910749308057726</v>
      </c>
      <c r="Z529" s="98" t="str">
        <f t="shared" si="283"/>
        <v>-662.834762975027-37.6857529166113i</v>
      </c>
      <c r="AA529" s="160">
        <f t="shared" si="294"/>
        <v>663.90521837160782</v>
      </c>
      <c r="AB529" s="160">
        <f t="shared" si="295"/>
        <v>-3.0847983713624387</v>
      </c>
      <c r="AC529" s="171" t="str">
        <f t="shared" si="296"/>
        <v>5.93719499390566E-07+1.61415124120523E-06i</v>
      </c>
      <c r="AD529" s="190">
        <f t="shared" si="297"/>
        <v>-115.290037282247</v>
      </c>
      <c r="AE529" s="169">
        <f t="shared" si="298"/>
        <v>69.805393802895111</v>
      </c>
      <c r="AF529" s="98" t="str">
        <f t="shared" si="284"/>
        <v>-0.0000119284294234592</v>
      </c>
      <c r="AG529" s="98" t="str">
        <f t="shared" si="285"/>
        <v>0.0453459471524438i</v>
      </c>
      <c r="AH529" s="98">
        <f t="shared" si="299"/>
        <v>4.5345947152443798E-2</v>
      </c>
      <c r="AI529" s="98">
        <f t="shared" si="300"/>
        <v>1.5707963267948966</v>
      </c>
      <c r="AJ529" s="98" t="str">
        <f t="shared" si="286"/>
        <v>1+39.1610788615136i</v>
      </c>
      <c r="AK529" s="98">
        <f t="shared" si="301"/>
        <v>39.173844559829554</v>
      </c>
      <c r="AL529" s="98">
        <f t="shared" si="302"/>
        <v>1.5452663169188545</v>
      </c>
      <c r="AM529" s="98" t="str">
        <f t="shared" si="287"/>
        <v>1+99721.9072718052i</v>
      </c>
      <c r="AN529" s="98">
        <f t="shared" si="303"/>
        <v>99721.90727681914</v>
      </c>
      <c r="AO529" s="98">
        <f t="shared" si="304"/>
        <v>1.570786298908073</v>
      </c>
      <c r="AP529" s="168" t="str">
        <f t="shared" si="305"/>
        <v>-0.0170872585288896+0.669418532702847i</v>
      </c>
      <c r="AQ529" s="98">
        <f t="shared" si="306"/>
        <v>-3.483216634835947</v>
      </c>
      <c r="AR529" s="169">
        <f t="shared" si="307"/>
        <v>91.462187261232074</v>
      </c>
      <c r="AS529" s="168" t="str">
        <f t="shared" si="308"/>
        <v>-1.09068779402781E-06+0.0000003698654165559i</v>
      </c>
      <c r="AT529" s="190">
        <f t="shared" si="309"/>
        <v>-118.77325391708297</v>
      </c>
      <c r="AU529" s="169">
        <f t="shared" si="310"/>
        <v>161.26758106412711</v>
      </c>
      <c r="AV529" s="225"/>
      <c r="AX529">
        <f t="shared" si="311"/>
        <v>0</v>
      </c>
      <c r="AY529">
        <f t="shared" si="312"/>
        <v>0</v>
      </c>
    </row>
    <row r="530" spans="14:51" x14ac:dyDescent="0.2">
      <c r="N530" s="170">
        <v>12</v>
      </c>
      <c r="O530" s="199">
        <f t="shared" si="314"/>
        <v>1318256.7385564097</v>
      </c>
      <c r="P530" s="189" t="str">
        <f t="shared" si="279"/>
        <v>771.276595744681</v>
      </c>
      <c r="Q530" s="160" t="str">
        <f t="shared" si="280"/>
        <v>1+8448508.39820388i</v>
      </c>
      <c r="R530" s="160">
        <f t="shared" si="288"/>
        <v>8448508.3982039373</v>
      </c>
      <c r="S530" s="160">
        <f t="shared" si="289"/>
        <v>1.5707962084308076</v>
      </c>
      <c r="T530" s="160" t="str">
        <f t="shared" si="281"/>
        <v>1+1.98788432898915i</v>
      </c>
      <c r="U530" s="160">
        <f t="shared" si="290"/>
        <v>2.2252379884948583</v>
      </c>
      <c r="V530" s="160">
        <f t="shared" si="291"/>
        <v>1.1047137880577003</v>
      </c>
      <c r="W530" s="98" t="str">
        <f t="shared" si="282"/>
        <v>1-5.63233893213591i</v>
      </c>
      <c r="X530" s="160">
        <f t="shared" si="292"/>
        <v>5.7204232226692699</v>
      </c>
      <c r="Y530" s="160">
        <f t="shared" si="293"/>
        <v>-1.395081257765173</v>
      </c>
      <c r="Z530" s="98" t="str">
        <f t="shared" si="283"/>
        <v>-694.120331499755-38.5635668683924i</v>
      </c>
      <c r="AA530" s="160">
        <f t="shared" si="294"/>
        <v>695.19075316846875</v>
      </c>
      <c r="AB530" s="160">
        <f t="shared" si="295"/>
        <v>-3.0860922435609845</v>
      </c>
      <c r="AC530" s="171" t="str">
        <f t="shared" si="296"/>
        <v>5.66692328774049E-07+0.0000015726047333388i</v>
      </c>
      <c r="AD530" s="190">
        <f t="shared" si="297"/>
        <v>-115.53738495028306</v>
      </c>
      <c r="AE530" s="169">
        <f t="shared" si="298"/>
        <v>70.183237003735456</v>
      </c>
      <c r="AF530" s="98" t="str">
        <f t="shared" si="284"/>
        <v>-0.0000119284294234592</v>
      </c>
      <c r="AG530" s="98" t="str">
        <f t="shared" si="285"/>
        <v>0.0464021899494292i</v>
      </c>
      <c r="AH530" s="98">
        <f t="shared" si="299"/>
        <v>4.6402189949429198E-2</v>
      </c>
      <c r="AI530" s="98">
        <f t="shared" si="300"/>
        <v>1.5707963267948966</v>
      </c>
      <c r="AJ530" s="98" t="str">
        <f t="shared" si="286"/>
        <v>1+40.0732575691409i</v>
      </c>
      <c r="AK530" s="98">
        <f t="shared" si="301"/>
        <v>40.085732776172478</v>
      </c>
      <c r="AL530" s="98">
        <f t="shared" si="302"/>
        <v>1.5458472069617786</v>
      </c>
      <c r="AM530" s="98" t="str">
        <f t="shared" si="287"/>
        <v>1+102044.72888811i</v>
      </c>
      <c r="AN530" s="98">
        <f t="shared" si="303"/>
        <v>102044.7288930098</v>
      </c>
      <c r="AO530" s="98">
        <f t="shared" si="304"/>
        <v>1.5707865271706449</v>
      </c>
      <c r="AP530" s="168" t="str">
        <f t="shared" si="305"/>
        <v>-0.0163186838150417+0.654199885797078i</v>
      </c>
      <c r="AQ530" s="98">
        <f t="shared" si="306"/>
        <v>-3.6830892603976872</v>
      </c>
      <c r="AR530" s="169">
        <f t="shared" si="307"/>
        <v>91.428917791893355</v>
      </c>
      <c r="AS530" s="168" t="str">
        <f t="shared" si="308"/>
        <v>-1.03804550988786E-06+3.45067217356669E-07i</v>
      </c>
      <c r="AT530" s="190">
        <f t="shared" si="309"/>
        <v>-119.22047421068075</v>
      </c>
      <c r="AU530" s="169">
        <f t="shared" si="310"/>
        <v>161.61215479562881</v>
      </c>
      <c r="AV530" s="225"/>
      <c r="AX530">
        <f t="shared" si="311"/>
        <v>0</v>
      </c>
      <c r="AY530">
        <f t="shared" si="312"/>
        <v>0</v>
      </c>
    </row>
    <row r="531" spans="14:51" x14ac:dyDescent="0.2">
      <c r="N531" s="170">
        <v>13</v>
      </c>
      <c r="O531" s="199">
        <f t="shared" si="314"/>
        <v>1348962.8825916562</v>
      </c>
      <c r="P531" s="189" t="str">
        <f t="shared" ref="P531:P560" si="315">COMPLEX(Adc,0)</f>
        <v>771.276595744681</v>
      </c>
      <c r="Q531" s="160" t="str">
        <f t="shared" ref="Q531:Q560" si="316">IMSUM(COMPLEX(1,0),IMDIV(COMPLEX(0,2*PI()*O531),COMPLEX(wp_lf,0)))</f>
        <v>1+8645299.43910712i</v>
      </c>
      <c r="R531" s="160">
        <f t="shared" si="288"/>
        <v>8645299.4391071778</v>
      </c>
      <c r="S531" s="160">
        <f t="shared" si="289"/>
        <v>1.5707962111251033</v>
      </c>
      <c r="T531" s="160" t="str">
        <f t="shared" ref="T531:T560" si="317">IMSUM(COMPLEX(1,0),IMDIV(COMPLEX(0,2*PI()*O531),COMPLEX(wz_esr,0)))</f>
        <v>1+2.03418810331932i</v>
      </c>
      <c r="U531" s="160">
        <f t="shared" si="290"/>
        <v>2.2666983124548916</v>
      </c>
      <c r="V531" s="160">
        <f t="shared" si="291"/>
        <v>1.1138939915107526</v>
      </c>
      <c r="W531" s="98" t="str">
        <f t="shared" ref="W531:W560" si="318">IMSUB(COMPLEX(1,0),IMDIV(COMPLEX(0,2*PI()*O531),COMPLEX(wz_rhp,0)))</f>
        <v>1-5.76353295940474i</v>
      </c>
      <c r="X531" s="160">
        <f t="shared" si="292"/>
        <v>5.8496420552154103</v>
      </c>
      <c r="Y531" s="160">
        <f t="shared" si="293"/>
        <v>-1.3990019045983777</v>
      </c>
      <c r="Z531" s="98" t="str">
        <f t="shared" ref="Z531:Z560" si="319">IF(Dc_Mode_Loop="CCM",IMSUM(COMPLEX(1,0),IMDIV(COMPLEX(0,2*PI()*O531),COMPLEX(Q*(wsl/2),0)),IMDIV(IMPOWER(COMPLEX(0,2*PI()*O531),2),IMPOWER(COMPLEX(wsl/2,0),2))),COMPLEX(1,0))</f>
        <v>-726.880343443997-39.4618277337761i</v>
      </c>
      <c r="AA531" s="160">
        <f t="shared" si="294"/>
        <v>727.95073290254561</v>
      </c>
      <c r="AB531" s="160">
        <f t="shared" si="295"/>
        <v>-3.0873565918851575</v>
      </c>
      <c r="AC531" s="171" t="str">
        <f t="shared" si="296"/>
        <v>5.40908442444575E-07+1.53232371855982E-06i</v>
      </c>
      <c r="AD531" s="190">
        <f t="shared" si="297"/>
        <v>-115.78297722889188</v>
      </c>
      <c r="AE531" s="169">
        <f t="shared" si="298"/>
        <v>70.557029068600627</v>
      </c>
      <c r="AF531" s="98" t="str">
        <f t="shared" ref="AF531:AF560" si="320">COMPLEX(Adc_ea,0)</f>
        <v>-0.0000119284294234592</v>
      </c>
      <c r="AG531" s="98" t="str">
        <f t="shared" ref="AG531:AG560" si="321">COMPLEX(0,2*PI()*O531*wp0_ea)</f>
        <v>0.0474830358017313i</v>
      </c>
      <c r="AH531" s="98">
        <f t="shared" si="299"/>
        <v>4.7483035801731299E-2</v>
      </c>
      <c r="AI531" s="98">
        <f t="shared" si="300"/>
        <v>1.5707963267948966</v>
      </c>
      <c r="AJ531" s="98" t="str">
        <f t="shared" ref="AJ531:AJ560" si="322">IMSUM(COMPLEX(1,0),IMDIV(COMPLEX(0,2*PI()*O531),COMPLEX(wp1_ea,0)))</f>
        <v>1+41.0066836483635i</v>
      </c>
      <c r="AK531" s="98">
        <f t="shared" si="301"/>
        <v>41.018874970395792</v>
      </c>
      <c r="AL531" s="98">
        <f t="shared" si="302"/>
        <v>1.5464148906065112</v>
      </c>
      <c r="AM531" s="98" t="str">
        <f t="shared" ref="AM531:AM560" si="323">IMSUM(COMPLEX(1,0),IMDIV(COMPLEX(0,2*PI()*O531),COMPLEX(wz_ea,0)))</f>
        <v>1+104421.655970392i</v>
      </c>
      <c r="AN531" s="98">
        <f t="shared" si="303"/>
        <v>104421.65597518027</v>
      </c>
      <c r="AO531" s="98">
        <f t="shared" si="304"/>
        <v>1.5707867502373265</v>
      </c>
      <c r="AP531" s="168" t="str">
        <f t="shared" si="305"/>
        <v>-0.0155846585745323+0.639326378482588i</v>
      </c>
      <c r="AQ531" s="98">
        <f t="shared" si="306"/>
        <v>-3.8829676152660539</v>
      </c>
      <c r="AR531" s="169">
        <f t="shared" si="307"/>
        <v>91.396404695730993</v>
      </c>
      <c r="AS531" s="168" t="str">
        <f t="shared" si="308"/>
        <v>-9.88084847045403E-07+3.21936293619335E-07i</v>
      </c>
      <c r="AT531" s="190">
        <f t="shared" si="309"/>
        <v>-119.66594484415793</v>
      </c>
      <c r="AU531" s="169">
        <f t="shared" si="310"/>
        <v>161.95343376433163</v>
      </c>
      <c r="AV531" s="225"/>
      <c r="AX531">
        <f t="shared" si="311"/>
        <v>0</v>
      </c>
      <c r="AY531">
        <f t="shared" si="312"/>
        <v>0</v>
      </c>
    </row>
    <row r="532" spans="14:51" x14ac:dyDescent="0.2">
      <c r="N532" s="170">
        <v>14</v>
      </c>
      <c r="O532" s="199">
        <f t="shared" si="314"/>
        <v>1380384.2646028849</v>
      </c>
      <c r="P532" s="189" t="str">
        <f t="shared" si="315"/>
        <v>771.276595744681</v>
      </c>
      <c r="Q532" s="160" t="str">
        <f t="shared" si="316"/>
        <v>1+8846674.33220704i</v>
      </c>
      <c r="R532" s="160">
        <f t="shared" ref="R532:R560" si="324">IMABS(Q532)</f>
        <v>8846674.3322070986</v>
      </c>
      <c r="S532" s="160">
        <f t="shared" ref="S532:S560" si="325">IMARGUMENT(Q532)</f>
        <v>1.5707962137580691</v>
      </c>
      <c r="T532" s="160" t="str">
        <f t="shared" si="317"/>
        <v>1+2.08157043110754i</v>
      </c>
      <c r="U532" s="160">
        <f t="shared" ref="U532:U560" si="326">IMABS(T532)</f>
        <v>2.3093149329749783</v>
      </c>
      <c r="V532" s="160">
        <f t="shared" ref="V532:V560" si="327">IMARGUMENT(T532)</f>
        <v>1.1229460101302966</v>
      </c>
      <c r="W532" s="98" t="str">
        <f t="shared" si="318"/>
        <v>1-5.89778288813801i</v>
      </c>
      <c r="X532" s="160">
        <f t="shared" ref="X532:X560" si="328">IMABS(W532)</f>
        <v>5.9819597955530863</v>
      </c>
      <c r="Y532" s="160">
        <f t="shared" ref="Y532:Y560" si="329">IMARGUMENT(W532)</f>
        <v>-1.4028384677154448</v>
      </c>
      <c r="Z532" s="98" t="str">
        <f t="shared" si="319"/>
        <v>-761.1842871853-40.3810117825634i</v>
      </c>
      <c r="AA532" s="160">
        <f t="shared" ref="AA532:AA560" si="330">IMABS(Z532)</f>
        <v>762.25464588310433</v>
      </c>
      <c r="AB532" s="160">
        <f t="shared" ref="AB532:AB560" si="331">IMARGUMENT(Z532)</f>
        <v>-3.0885920931578523</v>
      </c>
      <c r="AC532" s="171" t="str">
        <f t="shared" ref="AC532:AC560" si="332">(IMDIV(IMPRODUCT(P532,T532,W532),IMPRODUCT(Q532,Z532)))</f>
        <v>5.16309521177315E-07+1.49325814080388E-06i</v>
      </c>
      <c r="AD532" s="190">
        <f t="shared" ref="AD532:AD560" si="333">20*LOG(IMABS(AC532))</f>
        <v>-116.02686626914041</v>
      </c>
      <c r="AE532" s="169">
        <f t="shared" ref="AE532:AE560" si="334">(180/PI())*IMARGUMENT(AC532)</f>
        <v>70.926641514781494</v>
      </c>
      <c r="AF532" s="98" t="str">
        <f t="shared" si="320"/>
        <v>-0.0000119284294234592</v>
      </c>
      <c r="AG532" s="98" t="str">
        <f t="shared" si="321"/>
        <v>0.0485890577881277i</v>
      </c>
      <c r="AH532" s="98">
        <f t="shared" ref="AH532:AH560" si="335">IMABS(AG532)</f>
        <v>4.85890577881277E-2</v>
      </c>
      <c r="AI532" s="98">
        <f t="shared" ref="AI532:AI560" si="336">IMARGUMENT(AG532)</f>
        <v>1.5707963267948966</v>
      </c>
      <c r="AJ532" s="98" t="str">
        <f t="shared" si="322"/>
        <v>1+41.9618520140441i</v>
      </c>
      <c r="AK532" s="98">
        <f t="shared" ref="AK532:AK560" si="337">IMABS(AJ532)</f>
        <v>41.973765907391929</v>
      </c>
      <c r="AL532" s="98">
        <f t="shared" ref="AL532:AL560" si="338">IMARGUMENT(AJ532)</f>
        <v>1.5469696673820414</v>
      </c>
      <c r="AM532" s="98" t="str">
        <f t="shared" si="323"/>
        <v>1+106853.948796854i</v>
      </c>
      <c r="AN532" s="98">
        <f t="shared" ref="AN532:AN560" si="339">IMABS(AM532)</f>
        <v>106853.94880153329</v>
      </c>
      <c r="AO532" s="98">
        <f t="shared" ref="AO532:AO560" si="340">IMARGUMENT(AM532)</f>
        <v>1.5707869682263904</v>
      </c>
      <c r="AP532" s="168" t="str">
        <f t="shared" ref="AP532:AP560" si="341">IMPRODUCT(AF532,IMDIV(AM532,IMPRODUCT(AG532,AJ532)))</f>
        <v>-0.0148836315248822+0.624790239686381i</v>
      </c>
      <c r="AQ532" s="98">
        <f t="shared" ref="AQ532:AQ560" si="342">20*LOG(IMABS(AP532))</f>
        <v>-4.0828514418864517</v>
      </c>
      <c r="AR532" s="169">
        <f t="shared" ref="AR532:AR560" si="343">(180/PI())*IMARGUMENT(AP532)</f>
        <v>91.364630817774568</v>
      </c>
      <c r="AS532" s="168" t="str">
        <f t="shared" ref="AS532:AS560" si="344">IMPRODUCT(AC532,AP532)</f>
        <v>-9.40657672372487E-07+3.0036004554948E-07i</v>
      </c>
      <c r="AT532" s="190">
        <f t="shared" ref="AT532:AT560" si="345">20*LOG(IMABS(AS532))</f>
        <v>-120.10971771102687</v>
      </c>
      <c r="AU532" s="169">
        <f t="shared" ref="AU532:AU560" si="346">(180/PI())*IMARGUMENT(AS532)</f>
        <v>162.29127233255605</v>
      </c>
      <c r="AV532" s="225"/>
      <c r="AX532">
        <f t="shared" ref="AX532:AX559" si="347">SUM((AT533&lt;0)*(AT532&gt;0))*O532</f>
        <v>0</v>
      </c>
      <c r="AY532">
        <f t="shared" ref="AY532:AY559" si="348">IF(AX532&gt;0,AU532,0)</f>
        <v>0</v>
      </c>
    </row>
    <row r="533" spans="14:51" x14ac:dyDescent="0.2">
      <c r="N533" s="170">
        <v>15</v>
      </c>
      <c r="O533" s="199">
        <f t="shared" si="314"/>
        <v>1412537.5446227565</v>
      </c>
      <c r="P533" s="189" t="str">
        <f t="shared" si="315"/>
        <v>771.276595744681</v>
      </c>
      <c r="Q533" s="160" t="str">
        <f t="shared" si="316"/>
        <v>1+9052739.8491375i</v>
      </c>
      <c r="R533" s="160">
        <f t="shared" si="324"/>
        <v>9052739.8491375539</v>
      </c>
      <c r="S533" s="160">
        <f t="shared" si="325"/>
        <v>1.5707962163311016</v>
      </c>
      <c r="T533" s="160" t="str">
        <f t="shared" si="317"/>
        <v>1+2.13005643509117i</v>
      </c>
      <c r="U533" s="160">
        <f t="shared" si="326"/>
        <v>2.3531129205104677</v>
      </c>
      <c r="V533" s="160">
        <f t="shared" si="327"/>
        <v>1.1318687087298325</v>
      </c>
      <c r="W533" s="98" t="str">
        <f t="shared" si="318"/>
        <v>1-6.03515989942499i</v>
      </c>
      <c r="X533" s="160">
        <f t="shared" si="328"/>
        <v>6.1174467722757866</v>
      </c>
      <c r="Y533" s="160">
        <f t="shared" si="329"/>
        <v>-1.4065925293170307</v>
      </c>
      <c r="Z533" s="98" t="str">
        <f t="shared" si="319"/>
        <v>-797.104925987555-41.3216063783037i</v>
      </c>
      <c r="AA533" s="160">
        <f t="shared" si="330"/>
        <v>798.17525530882574</v>
      </c>
      <c r="AB533" s="160">
        <f t="shared" si="331"/>
        <v>-3.0897994084779583</v>
      </c>
      <c r="AC533" s="171" t="str">
        <f t="shared" si="332"/>
        <v>4.9284007822763E-07+1.45536049153309E-06i</v>
      </c>
      <c r="AD533" s="190">
        <f t="shared" si="333"/>
        <v>-116.26910358519015</v>
      </c>
      <c r="AE533" s="169">
        <f t="shared" si="334"/>
        <v>71.291956525558845</v>
      </c>
      <c r="AF533" s="98" t="str">
        <f t="shared" si="320"/>
        <v>-0.0000119284294234592</v>
      </c>
      <c r="AG533" s="98" t="str">
        <f t="shared" si="321"/>
        <v>0.0497208423361158i</v>
      </c>
      <c r="AH533" s="98">
        <f t="shared" si="335"/>
        <v>4.9720842336115803E-2</v>
      </c>
      <c r="AI533" s="98">
        <f t="shared" si="336"/>
        <v>1.5707963267948966</v>
      </c>
      <c r="AJ533" s="98" t="str">
        <f t="shared" si="322"/>
        <v>1+42.9392691090934i</v>
      </c>
      <c r="AK533" s="98">
        <f t="shared" si="337"/>
        <v>42.950911883487905</v>
      </c>
      <c r="AL533" s="98">
        <f t="shared" si="338"/>
        <v>1.5475118300715951</v>
      </c>
      <c r="AM533" s="98" t="str">
        <f t="shared" si="323"/>
        <v>1+109342.897001347i</v>
      </c>
      <c r="AN533" s="98">
        <f t="shared" si="339"/>
        <v>109342.89700591975</v>
      </c>
      <c r="AO533" s="98">
        <f t="shared" si="340"/>
        <v>1.5707871812534175</v>
      </c>
      <c r="AP533" s="168" t="str">
        <f t="shared" si="341"/>
        <v>-0.0142141208776839+0.610583869547837i</v>
      </c>
      <c r="AQ533" s="98">
        <f t="shared" si="342"/>
        <v>-4.2827404942692429</v>
      </c>
      <c r="AR533" s="169">
        <f t="shared" si="343"/>
        <v>91.333579389403241</v>
      </c>
      <c r="AS533" s="168" t="str">
        <f t="shared" si="344"/>
        <v>-8.95624928952611E-07+2.80233532085228E-07i</v>
      </c>
      <c r="AT533" s="190">
        <f t="shared" si="345"/>
        <v>-120.55184407945939</v>
      </c>
      <c r="AU533" s="169">
        <f t="shared" si="346"/>
        <v>162.62553591496209</v>
      </c>
      <c r="AV533" s="225"/>
      <c r="AX533">
        <f t="shared" si="347"/>
        <v>0</v>
      </c>
      <c r="AY533">
        <f t="shared" si="348"/>
        <v>0</v>
      </c>
    </row>
    <row r="534" spans="14:51" x14ac:dyDescent="0.2">
      <c r="N534" s="170">
        <v>16</v>
      </c>
      <c r="O534" s="199">
        <f t="shared" si="314"/>
        <v>1445439.7707459298</v>
      </c>
      <c r="P534" s="189" t="str">
        <f t="shared" si="315"/>
        <v>771.276595744681</v>
      </c>
      <c r="Q534" s="160" t="str">
        <f t="shared" si="316"/>
        <v>1+9263605.24856314i</v>
      </c>
      <c r="R534" s="160">
        <f t="shared" si="324"/>
        <v>9263605.2485631946</v>
      </c>
      <c r="S534" s="160">
        <f t="shared" si="325"/>
        <v>1.5707962188455644</v>
      </c>
      <c r="T534" s="160" t="str">
        <f t="shared" si="317"/>
        <v>1+2.17967182319132i</v>
      </c>
      <c r="U534" s="160">
        <f t="shared" si="326"/>
        <v>2.3981178571567687</v>
      </c>
      <c r="V534" s="160">
        <f t="shared" si="327"/>
        <v>1.1406611342276094</v>
      </c>
      <c r="W534" s="98" t="str">
        <f t="shared" si="318"/>
        <v>1-6.17573683237542i</v>
      </c>
      <c r="X534" s="160">
        <f t="shared" si="328"/>
        <v>6.2561749833870843</v>
      </c>
      <c r="Y534" s="160">
        <f t="shared" si="329"/>
        <v>-1.4102656563957039</v>
      </c>
      <c r="Z534" s="98" t="str">
        <f t="shared" si="319"/>
        <v>-834.71845234162-42.2841102367019i</v>
      </c>
      <c r="AA534" s="160">
        <f t="shared" si="330"/>
        <v>835.78875360829011</v>
      </c>
      <c r="AB534" s="160">
        <f t="shared" si="331"/>
        <v>-3.0909791835993414</v>
      </c>
      <c r="AC534" s="171" t="str">
        <f t="shared" si="332"/>
        <v>4.70447313596301E-07+1.41858565887624E-06i</v>
      </c>
      <c r="AD534" s="190">
        <f t="shared" si="333"/>
        <v>-116.50973999637716</v>
      </c>
      <c r="AE534" s="169">
        <f t="shared" si="334"/>
        <v>71.652866710203071</v>
      </c>
      <c r="AF534" s="98" t="str">
        <f t="shared" si="320"/>
        <v>-0.0000119284294234592</v>
      </c>
      <c r="AG534" s="98" t="str">
        <f t="shared" si="321"/>
        <v>0.0508789895328435i</v>
      </c>
      <c r="AH534" s="98">
        <f t="shared" si="335"/>
        <v>5.0878989532843498E-2</v>
      </c>
      <c r="AI534" s="98">
        <f t="shared" si="336"/>
        <v>1.5707963267948966</v>
      </c>
      <c r="AJ534" s="98" t="str">
        <f t="shared" si="322"/>
        <v>1+43.9394531729928i</v>
      </c>
      <c r="AK534" s="98">
        <f t="shared" si="337"/>
        <v>43.950830994892776</v>
      </c>
      <c r="AL534" s="98">
        <f t="shared" si="338"/>
        <v>1.548041664861368</v>
      </c>
      <c r="AM534" s="98" t="str">
        <f t="shared" si="323"/>
        <v>1+111889.820257155i</v>
      </c>
      <c r="AN534" s="98">
        <f t="shared" si="339"/>
        <v>111889.8202616237</v>
      </c>
      <c r="AO534" s="98">
        <f t="shared" si="340"/>
        <v>1.5707873894313573</v>
      </c>
      <c r="AP534" s="168" t="str">
        <f t="shared" si="341"/>
        <v>-0.0135747112394091+0.59669983589918i</v>
      </c>
      <c r="AQ534" s="98">
        <f t="shared" si="342"/>
        <v>-4.4826345374713927</v>
      </c>
      <c r="AR534" s="169">
        <f t="shared" si="343"/>
        <v>91.303234019827428</v>
      </c>
      <c r="AS534" s="168" t="str">
        <f t="shared" si="344"/>
        <v>-8.52856016295808E-07+2.61458944134511E-07i</v>
      </c>
      <c r="AT534" s="190">
        <f t="shared" si="345"/>
        <v>-120.99237453384856</v>
      </c>
      <c r="AU534" s="169">
        <f t="shared" si="346"/>
        <v>162.9561007300305</v>
      </c>
      <c r="AV534" s="225"/>
      <c r="AX534">
        <f t="shared" si="347"/>
        <v>0</v>
      </c>
      <c r="AY534">
        <f t="shared" si="348"/>
        <v>0</v>
      </c>
    </row>
    <row r="535" spans="14:51" x14ac:dyDescent="0.2">
      <c r="N535" s="170">
        <v>17</v>
      </c>
      <c r="O535" s="199">
        <f t="shared" si="314"/>
        <v>1479108.3881682095</v>
      </c>
      <c r="P535" s="189" t="str">
        <f t="shared" si="315"/>
        <v>771.276595744681</v>
      </c>
      <c r="Q535" s="160" t="str">
        <f t="shared" si="316"/>
        <v>1+9479382.33410986i</v>
      </c>
      <c r="R535" s="160">
        <f t="shared" si="324"/>
        <v>9479382.3341099117</v>
      </c>
      <c r="S535" s="160">
        <f t="shared" si="325"/>
        <v>1.5707962213027913</v>
      </c>
      <c r="T535" s="160" t="str">
        <f t="shared" si="317"/>
        <v>1+2.2304429021435i</v>
      </c>
      <c r="U535" s="160">
        <f t="shared" si="326"/>
        <v>2.444355853741905</v>
      </c>
      <c r="V535" s="160">
        <f t="shared" si="327"/>
        <v>1.1493225097524817</v>
      </c>
      <c r="W535" s="98" t="str">
        <f t="shared" si="318"/>
        <v>1-6.3195882227399i</v>
      </c>
      <c r="X535" s="160">
        <f t="shared" si="328"/>
        <v>6.3982181351523835</v>
      </c>
      <c r="Y535" s="160">
        <f t="shared" si="329"/>
        <v>-1.4138593998324573</v>
      </c>
      <c r="Z535" s="98" t="str">
        <f t="shared" si="319"/>
        <v>-874.104649579824-43.269033690044i</v>
      </c>
      <c r="AA535" s="160">
        <f t="shared" si="330"/>
        <v>875.17492405434984</v>
      </c>
      <c r="AB535" s="160">
        <f t="shared" si="331"/>
        <v>-3.0921320492998201</v>
      </c>
      <c r="AC535" s="171" t="str">
        <f t="shared" si="332"/>
        <v>4.4908097645707E-07+0.0000013828907862802i</v>
      </c>
      <c r="AD535" s="190">
        <f t="shared" si="333"/>
        <v>-116.74882557394309</v>
      </c>
      <c r="AE535" s="169">
        <f t="shared" si="334"/>
        <v>72.00927483917161</v>
      </c>
      <c r="AF535" s="98" t="str">
        <f t="shared" si="320"/>
        <v>-0.0000119284294234592</v>
      </c>
      <c r="AG535" s="98" t="str">
        <f t="shared" si="321"/>
        <v>0.0520641134432846i</v>
      </c>
      <c r="AH535" s="98">
        <f t="shared" si="335"/>
        <v>5.2064113443284599E-2</v>
      </c>
      <c r="AI535" s="98">
        <f t="shared" si="336"/>
        <v>1.5707963267948966</v>
      </c>
      <c r="AJ535" s="98" t="str">
        <f t="shared" si="322"/>
        <v>1+44.9629345165718i</v>
      </c>
      <c r="AK535" s="98">
        <f t="shared" si="337"/>
        <v>44.974053412401283</v>
      </c>
      <c r="AL535" s="98">
        <f t="shared" si="338"/>
        <v>1.5485594514861938</v>
      </c>
      <c r="AM535" s="98" t="str">
        <f t="shared" si="323"/>
        <v>1+114496.068976699i</v>
      </c>
      <c r="AN535" s="98">
        <f t="shared" si="339"/>
        <v>114496.06898106594</v>
      </c>
      <c r="AO535" s="98">
        <f t="shared" si="340"/>
        <v>1.570787592870589</v>
      </c>
      <c r="AP535" s="168" t="str">
        <f t="shared" si="341"/>
        <v>-0.0129640506491948+0.583130870800948i</v>
      </c>
      <c r="AQ535" s="98">
        <f t="shared" si="342"/>
        <v>-4.6825333471018435</v>
      </c>
      <c r="AR535" s="169">
        <f t="shared" si="343"/>
        <v>91.273578687745911</v>
      </c>
      <c r="AS535" s="168" t="str">
        <f t="shared" si="344"/>
        <v>-8.1222821695056E-07+2.4394511466591E-07i</v>
      </c>
      <c r="AT535" s="190">
        <f t="shared" si="345"/>
        <v>-121.43135892104495</v>
      </c>
      <c r="AU535" s="169">
        <f t="shared" si="346"/>
        <v>163.28285352691751</v>
      </c>
      <c r="AV535" s="225"/>
      <c r="AX535">
        <f t="shared" si="347"/>
        <v>0</v>
      </c>
      <c r="AY535">
        <f t="shared" si="348"/>
        <v>0</v>
      </c>
    </row>
    <row r="536" spans="14:51" x14ac:dyDescent="0.2">
      <c r="N536" s="170">
        <v>18</v>
      </c>
      <c r="O536" s="199">
        <f t="shared" si="314"/>
        <v>1513561.2484362102</v>
      </c>
      <c r="P536" s="189" t="str">
        <f t="shared" si="315"/>
        <v>771.276595744681</v>
      </c>
      <c r="Q536" s="160" t="str">
        <f t="shared" si="316"/>
        <v>1+9700185.51364461i</v>
      </c>
      <c r="R536" s="160">
        <f t="shared" si="324"/>
        <v>9700185.5136446618</v>
      </c>
      <c r="S536" s="160">
        <f t="shared" si="325"/>
        <v>1.5707962237040847</v>
      </c>
      <c r="T536" s="160" t="str">
        <f t="shared" si="317"/>
        <v>1+2.28239659144579i</v>
      </c>
      <c r="U536" s="160">
        <f t="shared" si="326"/>
        <v>2.4918535672553794</v>
      </c>
      <c r="V536" s="160">
        <f t="shared" si="327"/>
        <v>1.1578522284734847</v>
      </c>
      <c r="W536" s="98" t="str">
        <f t="shared" si="318"/>
        <v>1-6.46679034242973i</v>
      </c>
      <c r="X536" s="160">
        <f t="shared" si="328"/>
        <v>6.5436516818166934</v>
      </c>
      <c r="Y536" s="160">
        <f t="shared" si="329"/>
        <v>-1.4173752935829742</v>
      </c>
      <c r="Z536" s="98" t="str">
        <f t="shared" si="319"/>
        <v>-915.347061107114-44.2768989577819i</v>
      </c>
      <c r="AA536" s="160">
        <f t="shared" si="330"/>
        <v>916.41730999515084</v>
      </c>
      <c r="AB536" s="160">
        <f t="shared" si="331"/>
        <v>-3.0932586217404334</v>
      </c>
      <c r="AC536" s="171" t="str">
        <f t="shared" si="332"/>
        <v>4.28693235238432E-07+0.0000013482351400636i</v>
      </c>
      <c r="AD536" s="190">
        <f t="shared" si="333"/>
        <v>-116.98640959242086</v>
      </c>
      <c r="AE536" s="169">
        <f t="shared" si="334"/>
        <v>72.361093557776627</v>
      </c>
      <c r="AF536" s="98" t="str">
        <f t="shared" si="320"/>
        <v>-0.0000119284294234592</v>
      </c>
      <c r="AG536" s="98" t="str">
        <f t="shared" si="321"/>
        <v>0.0532768424358233i</v>
      </c>
      <c r="AH536" s="98">
        <f t="shared" si="335"/>
        <v>5.3276842435823299E-2</v>
      </c>
      <c r="AI536" s="98">
        <f t="shared" si="336"/>
        <v>1.5707963267948966</v>
      </c>
      <c r="AJ536" s="98" t="str">
        <f t="shared" si="322"/>
        <v>1+46.0102558031864i</v>
      </c>
      <c r="AK536" s="98">
        <f t="shared" si="337"/>
        <v>46.021121662500228</v>
      </c>
      <c r="AL536" s="98">
        <f t="shared" si="338"/>
        <v>1.5490654633721976</v>
      </c>
      <c r="AM536" s="98" t="str">
        <f t="shared" si="323"/>
        <v>1+117163.02502755i</v>
      </c>
      <c r="AN536" s="98">
        <f t="shared" si="339"/>
        <v>117163.02503181754</v>
      </c>
      <c r="AO536" s="98">
        <f t="shared" si="340"/>
        <v>1.5707877916789781</v>
      </c>
      <c r="AP536" s="168" t="str">
        <f t="shared" si="341"/>
        <v>-0.0123808477476682+0.569869867132974i</v>
      </c>
      <c r="AQ536" s="98">
        <f t="shared" si="342"/>
        <v>-4.8824367088481306</v>
      </c>
      <c r="AR536" s="169">
        <f t="shared" si="343"/>
        <v>91.244597733176079</v>
      </c>
      <c r="AS536" s="168" t="str">
        <f t="shared" si="344"/>
        <v>-7.73626165807993E-07+2.27607063008946E-07i</v>
      </c>
      <c r="AT536" s="190">
        <f t="shared" si="345"/>
        <v>-121.86884630126899</v>
      </c>
      <c r="AU536" s="169">
        <f t="shared" si="346"/>
        <v>163.60569129095276</v>
      </c>
      <c r="AV536" s="225"/>
      <c r="AX536">
        <f t="shared" si="347"/>
        <v>0</v>
      </c>
      <c r="AY536">
        <f t="shared" si="348"/>
        <v>0</v>
      </c>
    </row>
    <row r="537" spans="14:51" x14ac:dyDescent="0.2">
      <c r="N537" s="170">
        <v>19</v>
      </c>
      <c r="O537" s="199">
        <f t="shared" si="314"/>
        <v>1548816.6189124861</v>
      </c>
      <c r="P537" s="189" t="str">
        <f t="shared" si="315"/>
        <v>771.276595744681</v>
      </c>
      <c r="Q537" s="160" t="str">
        <f t="shared" si="316"/>
        <v>1+9926131.85993583i</v>
      </c>
      <c r="R537" s="160">
        <f t="shared" si="324"/>
        <v>9926131.8599358797</v>
      </c>
      <c r="S537" s="160">
        <f t="shared" si="325"/>
        <v>1.570796226050718</v>
      </c>
      <c r="T537" s="160" t="str">
        <f t="shared" si="317"/>
        <v>1+2.33556043763196i</v>
      </c>
      <c r="U537" s="160">
        <f t="shared" si="326"/>
        <v>2.5406382186040561</v>
      </c>
      <c r="V537" s="160">
        <f t="shared" si="327"/>
        <v>1.1662498472025127</v>
      </c>
      <c r="W537" s="98" t="str">
        <f t="shared" si="318"/>
        <v>1-6.61742123995721i</v>
      </c>
      <c r="X537" s="160">
        <f t="shared" si="328"/>
        <v>6.6925528662115772</v>
      </c>
      <c r="Y537" s="160">
        <f t="shared" si="329"/>
        <v>-1.4208148539484027</v>
      </c>
      <c r="Z537" s="98" t="str">
        <f t="shared" si="319"/>
        <v>-958.533167607804-45.3082404234213i</v>
      </c>
      <c r="AA537" s="160">
        <f t="shared" si="330"/>
        <v>959.60339206076014</v>
      </c>
      <c r="AB537" s="160">
        <f t="shared" si="331"/>
        <v>-3.0943595028153208</v>
      </c>
      <c r="AC537" s="171" t="str">
        <f t="shared" si="332"/>
        <v>4.09238554886833E-07+1.31457998530292E-06i</v>
      </c>
      <c r="AD537" s="190">
        <f t="shared" si="333"/>
        <v>-117.2225404856425</v>
      </c>
      <c r="AE537" s="169">
        <f t="shared" si="334"/>
        <v>72.708245081475042</v>
      </c>
      <c r="AF537" s="98" t="str">
        <f t="shared" si="320"/>
        <v>-0.0000119284294234592</v>
      </c>
      <c r="AG537" s="98" t="str">
        <f t="shared" si="321"/>
        <v>0.054517819515424i</v>
      </c>
      <c r="AH537" s="98">
        <f t="shared" si="335"/>
        <v>5.4517819515423997E-2</v>
      </c>
      <c r="AI537" s="98">
        <f t="shared" si="336"/>
        <v>1.5707963267948966</v>
      </c>
      <c r="AJ537" s="98" t="str">
        <f t="shared" si="322"/>
        <v>1+47.0819723364456i</v>
      </c>
      <c r="AK537" s="98">
        <f t="shared" si="337"/>
        <v>47.092590915024303</v>
      </c>
      <c r="AL537" s="98">
        <f t="shared" si="338"/>
        <v>1.5495599677764782</v>
      </c>
      <c r="AM537" s="98" t="str">
        <f t="shared" si="323"/>
        <v>1+119892.102465107i</v>
      </c>
      <c r="AN537" s="98">
        <f t="shared" si="339"/>
        <v>119892.10246927741</v>
      </c>
      <c r="AO537" s="98">
        <f t="shared" si="340"/>
        <v>1.5707879859619358</v>
      </c>
      <c r="AP537" s="168" t="str">
        <f t="shared" si="341"/>
        <v>-0.0118238690711071+0.556909875241054i</v>
      </c>
      <c r="AQ537" s="98">
        <f t="shared" si="342"/>
        <v>-5.0823444180248263</v>
      </c>
      <c r="AR537" s="169">
        <f t="shared" si="343"/>
        <v>91.21627584945368</v>
      </c>
      <c r="AS537" s="168" t="str">
        <f t="shared" si="344"/>
        <v>-7.36941358701267E-07+2.12365570916136E-07i</v>
      </c>
      <c r="AT537" s="190">
        <f t="shared" si="345"/>
        <v>-122.30488490366731</v>
      </c>
      <c r="AU537" s="169">
        <f t="shared" si="346"/>
        <v>163.92452093092871</v>
      </c>
      <c r="AV537" s="225"/>
      <c r="AX537">
        <f t="shared" si="347"/>
        <v>0</v>
      </c>
      <c r="AY537">
        <f t="shared" si="348"/>
        <v>0</v>
      </c>
    </row>
    <row r="538" spans="14:51" x14ac:dyDescent="0.2">
      <c r="N538" s="170">
        <v>20</v>
      </c>
      <c r="O538" s="199">
        <f t="shared" si="314"/>
        <v>1584893.1924611153</v>
      </c>
      <c r="P538" s="189" t="str">
        <f t="shared" si="315"/>
        <v>771.276595744681</v>
      </c>
      <c r="Q538" s="160" t="str">
        <f t="shared" si="316"/>
        <v>1+10157341.172727i</v>
      </c>
      <c r="R538" s="160">
        <f t="shared" si="324"/>
        <v>10157341.17272705</v>
      </c>
      <c r="S538" s="160">
        <f t="shared" si="325"/>
        <v>1.5707962283439356</v>
      </c>
      <c r="T538" s="160" t="str">
        <f t="shared" si="317"/>
        <v>1+2.38996262887695i</v>
      </c>
      <c r="U538" s="160">
        <f t="shared" si="326"/>
        <v>2.5907376106870461</v>
      </c>
      <c r="V538" s="160">
        <f t="shared" si="327"/>
        <v>1.1745150798171746</v>
      </c>
      <c r="W538" s="98" t="str">
        <f t="shared" si="318"/>
        <v>1-6.77156078181802i</v>
      </c>
      <c r="X538" s="160">
        <f t="shared" si="328"/>
        <v>6.8450007612750392</v>
      </c>
      <c r="Y538" s="160">
        <f t="shared" si="329"/>
        <v>-1.4241795789255993</v>
      </c>
      <c r="Z538" s="98" t="str">
        <f t="shared" si="319"/>
        <v>-1003.75457260384-46.3636049178585i</v>
      </c>
      <c r="AA538" s="160">
        <f t="shared" si="330"/>
        <v>1004.8247737213173</v>
      </c>
      <c r="AB538" s="160">
        <f t="shared" si="331"/>
        <v>-3.0954352804925001</v>
      </c>
      <c r="AC538" s="171" t="str">
        <f t="shared" si="332"/>
        <v>3.90673580870946E-07+1.28188846951638E-06i</v>
      </c>
      <c r="AD538" s="190">
        <f t="shared" si="333"/>
        <v>-117.45726580731123</v>
      </c>
      <c r="AE538" s="169">
        <f t="shared" si="334"/>
        <v>73.050660875778533</v>
      </c>
      <c r="AF538" s="98" t="str">
        <f t="shared" si="320"/>
        <v>-0.0000119284294234592</v>
      </c>
      <c r="AG538" s="98" t="str">
        <f t="shared" si="321"/>
        <v>0.0557877026645602i</v>
      </c>
      <c r="AH538" s="98">
        <f t="shared" si="335"/>
        <v>5.57877026645602E-2</v>
      </c>
      <c r="AI538" s="98">
        <f t="shared" si="336"/>
        <v>1.5707963267948966</v>
      </c>
      <c r="AJ538" s="98" t="str">
        <f t="shared" si="322"/>
        <v>1+48.178652354641i</v>
      </c>
      <c r="AK538" s="98">
        <f t="shared" si="337"/>
        <v>48.189029277516632</v>
      </c>
      <c r="AL538" s="98">
        <f t="shared" si="338"/>
        <v>1.5500432259238739</v>
      </c>
      <c r="AM538" s="98" t="str">
        <f t="shared" si="323"/>
        <v>1+122684.74828235i</v>
      </c>
      <c r="AN538" s="98">
        <f t="shared" si="339"/>
        <v>122684.7482864255</v>
      </c>
      <c r="AO538" s="98">
        <f t="shared" si="340"/>
        <v>1.5707881758224735</v>
      </c>
      <c r="AP538" s="168" t="str">
        <f t="shared" si="341"/>
        <v>-0.011291936465482+0.544244099639546i</v>
      </c>
      <c r="AQ538" s="98">
        <f t="shared" si="342"/>
        <v>-5.2822562791419605</v>
      </c>
      <c r="AR538" s="169">
        <f t="shared" si="343"/>
        <v>91.188598075400094</v>
      </c>
      <c r="AS538" s="168" t="str">
        <f t="shared" si="344"/>
        <v>-7.02071697184195E-07+1.98146788120452E-07i</v>
      </c>
      <c r="AT538" s="190">
        <f t="shared" si="345"/>
        <v>-122.73952208645319</v>
      </c>
      <c r="AU538" s="169">
        <f t="shared" si="346"/>
        <v>164.23925895117867</v>
      </c>
      <c r="AV538" s="225"/>
      <c r="AX538">
        <f t="shared" si="347"/>
        <v>0</v>
      </c>
      <c r="AY538">
        <f t="shared" si="348"/>
        <v>0</v>
      </c>
    </row>
    <row r="539" spans="14:51" x14ac:dyDescent="0.2">
      <c r="N539" s="170">
        <v>21</v>
      </c>
      <c r="O539" s="199">
        <f t="shared" si="314"/>
        <v>1621810.0973589318</v>
      </c>
      <c r="P539" s="189" t="str">
        <f t="shared" si="315"/>
        <v>771.276595744681</v>
      </c>
      <c r="Q539" s="160" t="str">
        <f t="shared" si="316"/>
        <v>1+10393936.0422563i</v>
      </c>
      <c r="R539" s="160">
        <f t="shared" si="324"/>
        <v>10393936.042256348</v>
      </c>
      <c r="S539" s="160">
        <f t="shared" si="325"/>
        <v>1.570796230584953</v>
      </c>
      <c r="T539" s="160" t="str">
        <f t="shared" si="317"/>
        <v>1+2.44563200994266i</v>
      </c>
      <c r="U539" s="160">
        <f t="shared" si="326"/>
        <v>2.642180146783367</v>
      </c>
      <c r="V539" s="160">
        <f t="shared" si="327"/>
        <v>1.1826477905484385</v>
      </c>
      <c r="W539" s="98" t="str">
        <f t="shared" si="318"/>
        <v>1-6.92929069483754i</v>
      </c>
      <c r="X539" s="160">
        <f t="shared" si="328"/>
        <v>7.0010763125081077</v>
      </c>
      <c r="Y539" s="160">
        <f t="shared" si="329"/>
        <v>-1.4274709476319893</v>
      </c>
      <c r="Z539" s="98" t="str">
        <f t="shared" si="319"/>
        <v>-1051.10719675815-47.443552009318i</v>
      </c>
      <c r="AA539" s="160">
        <f t="shared" si="330"/>
        <v>1052.1773755902741</v>
      </c>
      <c r="AB539" s="160">
        <f t="shared" si="331"/>
        <v>-3.0964865291458303</v>
      </c>
      <c r="AC539" s="171" t="str">
        <f t="shared" si="332"/>
        <v>3.7295702951676E-07+1.25012551364591E-06i</v>
      </c>
      <c r="AD539" s="190">
        <f t="shared" si="333"/>
        <v>-117.69063219604801</v>
      </c>
      <c r="AE539" s="169">
        <f t="shared" si="334"/>
        <v>73.388281323636875</v>
      </c>
      <c r="AF539" s="98" t="str">
        <f t="shared" si="320"/>
        <v>-0.0000119284294234592</v>
      </c>
      <c r="AG539" s="98" t="str">
        <f t="shared" si="321"/>
        <v>0.0570871651920868i</v>
      </c>
      <c r="AH539" s="98">
        <f t="shared" si="335"/>
        <v>5.70871651920868E-2</v>
      </c>
      <c r="AI539" s="98">
        <f t="shared" si="336"/>
        <v>1.5707963267948966</v>
      </c>
      <c r="AJ539" s="98" t="str">
        <f t="shared" si="322"/>
        <v>1+49.3008773320347i</v>
      </c>
      <c r="AK539" s="98">
        <f t="shared" si="337"/>
        <v>49.311018096449125</v>
      </c>
      <c r="AL539" s="98">
        <f t="shared" si="338"/>
        <v>1.5505154931408589</v>
      </c>
      <c r="AM539" s="98" t="str">
        <f t="shared" si="323"/>
        <v>1+125542.443177057i</v>
      </c>
      <c r="AN539" s="98">
        <f t="shared" si="339"/>
        <v>125542.44318103969</v>
      </c>
      <c r="AO539" s="98">
        <f t="shared" si="340"/>
        <v>1.5707883613612579</v>
      </c>
      <c r="AP539" s="168" t="str">
        <f t="shared" si="341"/>
        <v>-0.0107839246151488+0.531865895769983i</v>
      </c>
      <c r="AQ539" s="98">
        <f t="shared" si="342"/>
        <v>-5.482172105492424</v>
      </c>
      <c r="AR539" s="169">
        <f t="shared" si="343"/>
        <v>91.16154978765374</v>
      </c>
      <c r="AS539" s="168" t="str">
        <f t="shared" si="344"/>
        <v>-6.68921066631191E-07+1.84881865289012E-07i</v>
      </c>
      <c r="AT539" s="190">
        <f t="shared" si="345"/>
        <v>-123.17280430154044</v>
      </c>
      <c r="AU539" s="169">
        <f t="shared" si="346"/>
        <v>164.54983111129062</v>
      </c>
      <c r="AV539" s="225"/>
      <c r="AX539">
        <f t="shared" si="347"/>
        <v>0</v>
      </c>
      <c r="AY539">
        <f t="shared" si="348"/>
        <v>0</v>
      </c>
    </row>
    <row r="540" spans="14:51" x14ac:dyDescent="0.2">
      <c r="N540" s="170">
        <v>22</v>
      </c>
      <c r="O540" s="199">
        <f t="shared" si="314"/>
        <v>1659586.9074375622</v>
      </c>
      <c r="P540" s="189" t="str">
        <f t="shared" si="315"/>
        <v>771.276595744681</v>
      </c>
      <c r="Q540" s="160" t="str">
        <f t="shared" si="316"/>
        <v>1+10636041.9142553i</v>
      </c>
      <c r="R540" s="160">
        <f t="shared" si="324"/>
        <v>10636041.914255347</v>
      </c>
      <c r="S540" s="160">
        <f t="shared" si="325"/>
        <v>1.5707962327749587</v>
      </c>
      <c r="T540" s="160" t="str">
        <f t="shared" si="317"/>
        <v>1+2.50259809747183i</v>
      </c>
      <c r="U540" s="160">
        <f t="shared" si="326"/>
        <v>2.694994849247327</v>
      </c>
      <c r="V540" s="160">
        <f t="shared" si="327"/>
        <v>1.1906479871749527</v>
      </c>
      <c r="W540" s="98" t="str">
        <f t="shared" si="318"/>
        <v>1-7.09069460950351i</v>
      </c>
      <c r="X540" s="160">
        <f t="shared" si="328"/>
        <v>7.1608623813924916</v>
      </c>
      <c r="Y540" s="160">
        <f t="shared" si="329"/>
        <v>-1.4306904198003974</v>
      </c>
      <c r="Z540" s="98" t="str">
        <f t="shared" si="319"/>
        <v>-1100.69148133527-48.5486543000427i</v>
      </c>
      <c r="AA540" s="160">
        <f t="shared" si="330"/>
        <v>1101.761638884916</v>
      </c>
      <c r="AB540" s="160">
        <f t="shared" si="331"/>
        <v>-3.0975138098784276</v>
      </c>
      <c r="AC540" s="171" t="str">
        <f t="shared" si="332"/>
        <v>3.56049584291104E-07+0.000001219257709869i</v>
      </c>
      <c r="AD540" s="190">
        <f t="shared" si="333"/>
        <v>-117.92268534480013</v>
      </c>
      <c r="AE540" s="169">
        <f t="shared" si="334"/>
        <v>73.721055382976175</v>
      </c>
      <c r="AF540" s="98" t="str">
        <f t="shared" si="320"/>
        <v>-0.0000119284294234592</v>
      </c>
      <c r="AG540" s="98" t="str">
        <f t="shared" si="321"/>
        <v>0.0584168960902362i</v>
      </c>
      <c r="AH540" s="98">
        <f t="shared" si="335"/>
        <v>5.8416896090236203E-2</v>
      </c>
      <c r="AI540" s="98">
        <f t="shared" si="336"/>
        <v>1.5707963267948966</v>
      </c>
      <c r="AJ540" s="98" t="str">
        <f t="shared" si="322"/>
        <v>1+50.4492422871643i</v>
      </c>
      <c r="AK540" s="98">
        <f t="shared" si="337"/>
        <v>50.459152265461285</v>
      </c>
      <c r="AL540" s="98">
        <f t="shared" si="338"/>
        <v>1.5509770189866179</v>
      </c>
      <c r="AM540" s="98" t="str">
        <f t="shared" si="323"/>
        <v>1+128466.702336887i</v>
      </c>
      <c r="AN540" s="98">
        <f t="shared" si="339"/>
        <v>128466.70234077905</v>
      </c>
      <c r="AO540" s="98">
        <f t="shared" si="340"/>
        <v>1.5707885426766637</v>
      </c>
      <c r="AP540" s="168" t="str">
        <f t="shared" si="341"/>
        <v>-0.0102987586811845+0.519768766815635i</v>
      </c>
      <c r="AQ540" s="98">
        <f t="shared" si="342"/>
        <v>-5.6820917187582856</v>
      </c>
      <c r="AR540" s="169">
        <f t="shared" si="343"/>
        <v>91.13511669316307</v>
      </c>
      <c r="AS540" s="168" t="str">
        <f t="shared" si="344"/>
        <v>-6.37398945036216E-07+1.72506612428092E-07i</v>
      </c>
      <c r="AT540" s="190">
        <f t="shared" si="345"/>
        <v>-123.60477706355839</v>
      </c>
      <c r="AU540" s="169">
        <f t="shared" si="346"/>
        <v>164.85617207613927</v>
      </c>
      <c r="AV540" s="225"/>
      <c r="AX540">
        <f t="shared" si="347"/>
        <v>0</v>
      </c>
      <c r="AY540">
        <f t="shared" si="348"/>
        <v>0</v>
      </c>
    </row>
    <row r="541" spans="14:51" x14ac:dyDescent="0.2">
      <c r="N541" s="170">
        <v>23</v>
      </c>
      <c r="O541" s="199">
        <f t="shared" si="314"/>
        <v>1698243.6524617488</v>
      </c>
      <c r="P541" s="189" t="str">
        <f t="shared" si="315"/>
        <v>771.276595744681</v>
      </c>
      <c r="Q541" s="160" t="str">
        <f t="shared" si="316"/>
        <v>1+10883787.1564619i</v>
      </c>
      <c r="R541" s="160">
        <f t="shared" si="324"/>
        <v>10883787.156461947</v>
      </c>
      <c r="S541" s="160">
        <f t="shared" si="325"/>
        <v>1.5707962349151139</v>
      </c>
      <c r="T541" s="160" t="str">
        <f t="shared" si="317"/>
        <v>1+2.56089109563809i</v>
      </c>
      <c r="U541" s="160">
        <f t="shared" si="326"/>
        <v>2.7492113785081091</v>
      </c>
      <c r="V541" s="160">
        <f t="shared" si="327"/>
        <v>1.1985158141631336</v>
      </c>
      <c r="W541" s="98" t="str">
        <f t="shared" si="318"/>
        <v>1-7.25585810430791i</v>
      </c>
      <c r="X541" s="160">
        <f t="shared" si="328"/>
        <v>7.3244437897939241</v>
      </c>
      <c r="Y541" s="160">
        <f t="shared" si="329"/>
        <v>-1.4338394353394015</v>
      </c>
      <c r="Z541" s="98" t="str">
        <f t="shared" si="319"/>
        <v>-1152.61260125066-49.6794977298949i</v>
      </c>
      <c r="AA541" s="160">
        <f t="shared" si="330"/>
        <v>1153.6827384755775</v>
      </c>
      <c r="AB541" s="160">
        <f t="shared" si="331"/>
        <v>-3.0985176708377908</v>
      </c>
      <c r="AC541" s="171" t="str">
        <f t="shared" si="332"/>
        <v>3.39913797676975E-07+1.18925322580207E-06i</v>
      </c>
      <c r="AD541" s="190">
        <f t="shared" si="333"/>
        <v>-118.15346997447926</v>
      </c>
      <c r="AE541" s="169">
        <f t="shared" si="334"/>
        <v>74.048940236899625</v>
      </c>
      <c r="AF541" s="98" t="str">
        <f t="shared" si="320"/>
        <v>-0.0000119284294234592</v>
      </c>
      <c r="AG541" s="98" t="str">
        <f t="shared" si="321"/>
        <v>0.0597776003999318i</v>
      </c>
      <c r="AH541" s="98">
        <f t="shared" si="335"/>
        <v>5.9777600399931803E-2</v>
      </c>
      <c r="AI541" s="98">
        <f t="shared" si="336"/>
        <v>1.5707963267948966</v>
      </c>
      <c r="AJ541" s="98" t="str">
        <f t="shared" si="322"/>
        <v>1+51.6243560983294i</v>
      </c>
      <c r="AK541" s="98">
        <f t="shared" si="337"/>
        <v>51.63404054078201</v>
      </c>
      <c r="AL541" s="98">
        <f t="shared" si="338"/>
        <v>1.5514280473813493</v>
      </c>
      <c r="AM541" s="98" t="str">
        <f t="shared" si="323"/>
        <v>1+131459.076242755i</v>
      </c>
      <c r="AN541" s="98">
        <f t="shared" si="339"/>
        <v>131459.07624655846</v>
      </c>
      <c r="AO541" s="98">
        <f t="shared" si="340"/>
        <v>1.5707887198648272</v>
      </c>
      <c r="AP541" s="168" t="str">
        <f t="shared" si="341"/>
        <v>-0.00983541204457165+0.507946360571999i</v>
      </c>
      <c r="AQ541" s="98">
        <f t="shared" si="342"/>
        <v>-5.8820149486341213</v>
      </c>
      <c r="AR541" s="169">
        <f t="shared" si="343"/>
        <v>91.10928482183833</v>
      </c>
      <c r="AS541" s="168" t="str">
        <f t="shared" si="344"/>
        <v>-6.07420040104459E-07+1.60961180937127E-07i</v>
      </c>
      <c r="AT541" s="190">
        <f t="shared" si="345"/>
        <v>-124.03548492311339</v>
      </c>
      <c r="AU541" s="169">
        <f t="shared" si="346"/>
        <v>165.15822505873797</v>
      </c>
      <c r="AV541" s="225"/>
      <c r="AX541">
        <f t="shared" si="347"/>
        <v>0</v>
      </c>
      <c r="AY541">
        <f t="shared" si="348"/>
        <v>0</v>
      </c>
    </row>
    <row r="542" spans="14:51" x14ac:dyDescent="0.2">
      <c r="N542" s="170">
        <v>24</v>
      </c>
      <c r="O542" s="199">
        <f t="shared" si="314"/>
        <v>1737800.8287493798</v>
      </c>
      <c r="P542" s="189" t="str">
        <f t="shared" si="315"/>
        <v>771.276595744681</v>
      </c>
      <c r="Q542" s="160" t="str">
        <f t="shared" si="316"/>
        <v>1+11137303.1266827i</v>
      </c>
      <c r="R542" s="160">
        <f t="shared" si="324"/>
        <v>11137303.126682745</v>
      </c>
      <c r="S542" s="160">
        <f t="shared" si="325"/>
        <v>1.5707962370065529</v>
      </c>
      <c r="T542" s="160" t="str">
        <f t="shared" si="317"/>
        <v>1+2.62054191216062i</v>
      </c>
      <c r="U542" s="160">
        <f t="shared" si="326"/>
        <v>2.804860052371676</v>
      </c>
      <c r="V542" s="160">
        <f t="shared" si="327"/>
        <v>1.2062515457892471</v>
      </c>
      <c r="W542" s="98" t="str">
        <f t="shared" si="318"/>
        <v>1-7.42486875112176i</v>
      </c>
      <c r="X542" s="160">
        <f t="shared" si="328"/>
        <v>7.4919073653766173</v>
      </c>
      <c r="Y542" s="160">
        <f t="shared" si="329"/>
        <v>-1.4369194139549659</v>
      </c>
      <c r="Z542" s="98" t="str">
        <f t="shared" si="319"/>
        <v>-1206.98068816081-50.8366818870288i</v>
      </c>
      <c r="AA542" s="160">
        <f t="shared" si="330"/>
        <v>1208.0508059756532</v>
      </c>
      <c r="AB542" s="160">
        <f t="shared" si="331"/>
        <v>-3.0994986475228914</v>
      </c>
      <c r="AC542" s="171" t="str">
        <f t="shared" si="332"/>
        <v>3.24513998307831E-07+1.16008171468524E-06i</v>
      </c>
      <c r="AD542" s="190">
        <f t="shared" si="333"/>
        <v>-118.38302981167759</v>
      </c>
      <c r="AE542" s="169">
        <f t="shared" si="334"/>
        <v>74.371900938885872</v>
      </c>
      <c r="AF542" s="98" t="str">
        <f t="shared" si="320"/>
        <v>-0.0000119284294234592</v>
      </c>
      <c r="AG542" s="98" t="str">
        <f t="shared" si="321"/>
        <v>0.0611699995846094i</v>
      </c>
      <c r="AH542" s="98">
        <f t="shared" si="335"/>
        <v>6.1169999584609398E-2</v>
      </c>
      <c r="AI542" s="98">
        <f t="shared" si="336"/>
        <v>1.5707963267948966</v>
      </c>
      <c r="AJ542" s="98" t="str">
        <f t="shared" si="322"/>
        <v>1+52.8268418264264i</v>
      </c>
      <c r="AK542" s="98">
        <f t="shared" si="337"/>
        <v>52.836305864001076</v>
      </c>
      <c r="AL542" s="98">
        <f t="shared" si="338"/>
        <v>1.551868816731848</v>
      </c>
      <c r="AM542" s="98" t="str">
        <f t="shared" si="323"/>
        <v>1+134521.151490912i</v>
      </c>
      <c r="AN542" s="98">
        <f t="shared" si="339"/>
        <v>134521.15149462887</v>
      </c>
      <c r="AO542" s="98">
        <f t="shared" si="340"/>
        <v>1.5707888930196954</v>
      </c>
      <c r="AP542" s="168" t="str">
        <f t="shared" si="341"/>
        <v>-0.00939290414963696+0.496392466372962i</v>
      </c>
      <c r="AQ542" s="98">
        <f t="shared" si="342"/>
        <v>-6.0819416324678466</v>
      </c>
      <c r="AR542" s="169">
        <f t="shared" si="343"/>
        <v>91.084040519359206</v>
      </c>
      <c r="AS542" s="168" t="str">
        <f t="shared" si="344"/>
        <v>-5.78903952428102E-07+1.50189767640791E-07i</v>
      </c>
      <c r="AT542" s="190">
        <f t="shared" si="345"/>
        <v>-124.46497144414543</v>
      </c>
      <c r="AU542" s="169">
        <f t="shared" si="346"/>
        <v>165.45594145824504</v>
      </c>
      <c r="AV542" s="225"/>
      <c r="AX542">
        <f t="shared" si="347"/>
        <v>0</v>
      </c>
      <c r="AY542">
        <f t="shared" si="348"/>
        <v>0</v>
      </c>
    </row>
    <row r="543" spans="14:51" x14ac:dyDescent="0.2">
      <c r="N543" s="170">
        <v>25</v>
      </c>
      <c r="O543" s="199">
        <f t="shared" si="314"/>
        <v>1778279.4100389241</v>
      </c>
      <c r="P543" s="189" t="str">
        <f t="shared" si="315"/>
        <v>771.276595744681</v>
      </c>
      <c r="Q543" s="160" t="str">
        <f t="shared" si="316"/>
        <v>1+11396724.2424408i</v>
      </c>
      <c r="R543" s="160">
        <f t="shared" si="324"/>
        <v>11396724.242440842</v>
      </c>
      <c r="S543" s="160">
        <f t="shared" si="325"/>
        <v>1.5707962390503853</v>
      </c>
      <c r="T543" s="160" t="str">
        <f t="shared" si="317"/>
        <v>1+2.68158217469196i</v>
      </c>
      <c r="U543" s="160">
        <f t="shared" si="326"/>
        <v>2.8619718656244091</v>
      </c>
      <c r="V543" s="160">
        <f t="shared" si="327"/>
        <v>1.2138555792767713</v>
      </c>
      <c r="W543" s="98" t="str">
        <f t="shared" si="318"/>
        <v>1-7.59781616162721i</v>
      </c>
      <c r="X543" s="160">
        <f t="shared" si="328"/>
        <v>7.6633419880547962</v>
      </c>
      <c r="Y543" s="160">
        <f t="shared" si="329"/>
        <v>-1.4399317548293074</v>
      </c>
      <c r="Z543" s="98" t="str">
        <f t="shared" si="319"/>
        <v>-1263.91106406735-52.0208203258022i</v>
      </c>
      <c r="AA543" s="160">
        <f t="shared" si="330"/>
        <v>1264.981163345617</v>
      </c>
      <c r="AB543" s="160">
        <f t="shared" si="331"/>
        <v>-3.1004572630834701</v>
      </c>
      <c r="AC543" s="171" t="str">
        <f t="shared" si="332"/>
        <v>3.09816203050136E-07+1.13171423116439E-06i</v>
      </c>
      <c r="AD543" s="190">
        <f t="shared" si="333"/>
        <v>-118.61140757029661</v>
      </c>
      <c r="AE543" s="169">
        <f t="shared" si="334"/>
        <v>74.689910055136423</v>
      </c>
      <c r="AF543" s="98" t="str">
        <f t="shared" si="320"/>
        <v>-0.0000119284294234592</v>
      </c>
      <c r="AG543" s="98" t="str">
        <f t="shared" si="321"/>
        <v>0.0625948319127474i</v>
      </c>
      <c r="AH543" s="98">
        <f t="shared" si="335"/>
        <v>6.2594831912747395E-2</v>
      </c>
      <c r="AI543" s="98">
        <f t="shared" si="336"/>
        <v>1.5707963267948966</v>
      </c>
      <c r="AJ543" s="98" t="str">
        <f t="shared" si="322"/>
        <v>1+54.0573370453057i</v>
      </c>
      <c r="AK543" s="98">
        <f t="shared" si="337"/>
        <v>54.066585692364377</v>
      </c>
      <c r="AL543" s="98">
        <f t="shared" si="338"/>
        <v>1.5522995600544118</v>
      </c>
      <c r="AM543" s="98" t="str">
        <f t="shared" si="323"/>
        <v>1+137654.551634187i</v>
      </c>
      <c r="AN543" s="98">
        <f t="shared" si="339"/>
        <v>137654.55163781927</v>
      </c>
      <c r="AO543" s="98">
        <f t="shared" si="340"/>
        <v>1.5707890622330778</v>
      </c>
      <c r="AP543" s="168" t="str">
        <f t="shared" si="341"/>
        <v>-0.00897029844334878+0.485101012072468i</v>
      </c>
      <c r="AQ543" s="98">
        <f t="shared" si="342"/>
        <v>-6.2818716149172182</v>
      </c>
      <c r="AR543" s="169">
        <f t="shared" si="343"/>
        <v>91.059370440135496</v>
      </c>
      <c r="AS543" s="168" t="str">
        <f t="shared" si="344"/>
        <v>-5.51774862718605E-07+1.40140339249941E-07i</v>
      </c>
      <c r="AT543" s="190">
        <f t="shared" si="345"/>
        <v>-124.89327918521384</v>
      </c>
      <c r="AU543" s="169">
        <f t="shared" si="346"/>
        <v>165.74928049527188</v>
      </c>
      <c r="AV543" s="225"/>
      <c r="AX543">
        <f t="shared" si="347"/>
        <v>0</v>
      </c>
      <c r="AY543">
        <f t="shared" si="348"/>
        <v>0</v>
      </c>
    </row>
    <row r="544" spans="14:51" x14ac:dyDescent="0.2">
      <c r="N544" s="170">
        <v>26</v>
      </c>
      <c r="O544" s="199">
        <f t="shared" si="314"/>
        <v>1819700.8586099846</v>
      </c>
      <c r="P544" s="189" t="str">
        <f t="shared" si="315"/>
        <v>771.276595744681</v>
      </c>
      <c r="Q544" s="160" t="str">
        <f t="shared" si="316"/>
        <v>1+11662188.0522459i</v>
      </c>
      <c r="R544" s="160">
        <f t="shared" si="324"/>
        <v>11662188.052245941</v>
      </c>
      <c r="S544" s="160">
        <f t="shared" si="325"/>
        <v>1.5707962410476941</v>
      </c>
      <c r="T544" s="160" t="str">
        <f t="shared" si="317"/>
        <v>1+2.74404424758727i</v>
      </c>
      <c r="U544" s="160">
        <f t="shared" si="326"/>
        <v>2.9205785099388764</v>
      </c>
      <c r="V544" s="160">
        <f t="shared" si="327"/>
        <v>1.2213284279793313</v>
      </c>
      <c r="W544" s="98" t="str">
        <f t="shared" si="318"/>
        <v>1-7.77479203483059i</v>
      </c>
      <c r="X544" s="160">
        <f t="shared" si="328"/>
        <v>7.8388386375065267</v>
      </c>
      <c r="Y544" s="160">
        <f t="shared" si="329"/>
        <v>-1.4428778363531223</v>
      </c>
      <c r="Z544" s="98" t="str">
        <f t="shared" si="319"/>
        <v>-1323.52448593036-53.2325408920897i</v>
      </c>
      <c r="AA544" s="160">
        <f t="shared" si="330"/>
        <v>1324.5945675062433</v>
      </c>
      <c r="AB544" s="160">
        <f t="shared" si="331"/>
        <v>-3.1013940286117565</v>
      </c>
      <c r="AC544" s="171" t="str">
        <f t="shared" si="332"/>
        <v>2.95788033744036E-07+1.10412315231144E-06i</v>
      </c>
      <c r="AD544" s="190">
        <f t="shared" si="333"/>
        <v>-118.83864493690947</v>
      </c>
      <c r="AE544" s="169">
        <f t="shared" si="334"/>
        <v>75.002947306043552</v>
      </c>
      <c r="AF544" s="98" t="str">
        <f t="shared" si="320"/>
        <v>-0.0000119284294234592</v>
      </c>
      <c r="AG544" s="98" t="str">
        <f t="shared" si="321"/>
        <v>0.0640528528493061i</v>
      </c>
      <c r="AH544" s="98">
        <f t="shared" si="335"/>
        <v>6.4052852849306105E-2</v>
      </c>
      <c r="AI544" s="98">
        <f t="shared" si="336"/>
        <v>1.5707963267948966</v>
      </c>
      <c r="AJ544" s="98" t="str">
        <f t="shared" si="322"/>
        <v>1+55.3164941798202i</v>
      </c>
      <c r="AK544" s="98">
        <f t="shared" si="337"/>
        <v>55.32553233676186</v>
      </c>
      <c r="AL544" s="98">
        <f t="shared" si="338"/>
        <v>1.5527205050951254</v>
      </c>
      <c r="AM544" s="98" t="str">
        <f t="shared" si="323"/>
        <v>1+140860.938042813i</v>
      </c>
      <c r="AN544" s="98">
        <f t="shared" si="339"/>
        <v>140860.9380463626</v>
      </c>
      <c r="AO544" s="98">
        <f t="shared" si="340"/>
        <v>1.5707892275946933</v>
      </c>
      <c r="AP544" s="168" t="str">
        <f t="shared" si="341"/>
        <v>-0.00856670040626523+0.474066061081362i</v>
      </c>
      <c r="AQ544" s="98">
        <f t="shared" si="342"/>
        <v>-6.4818047476216893</v>
      </c>
      <c r="AR544" s="169">
        <f t="shared" si="343"/>
        <v>91.035261540418318</v>
      </c>
      <c r="AS544" s="168" t="str">
        <f t="shared" si="344"/>
        <v>-5.25961241233864E-07+1.30764375814563E-07i</v>
      </c>
      <c r="AT544" s="190">
        <f t="shared" si="345"/>
        <v>-125.32044968453116</v>
      </c>
      <c r="AU544" s="169">
        <f t="shared" si="346"/>
        <v>166.03820884646183</v>
      </c>
      <c r="AV544" s="225"/>
      <c r="AX544">
        <f t="shared" si="347"/>
        <v>0</v>
      </c>
      <c r="AY544">
        <f t="shared" si="348"/>
        <v>0</v>
      </c>
    </row>
    <row r="545" spans="14:51" x14ac:dyDescent="0.2">
      <c r="N545" s="170">
        <v>27</v>
      </c>
      <c r="O545" s="199">
        <f t="shared" si="314"/>
        <v>1862087.1366628683</v>
      </c>
      <c r="P545" s="189" t="str">
        <f t="shared" si="315"/>
        <v>771.276595744681</v>
      </c>
      <c r="Q545" s="160" t="str">
        <f t="shared" si="316"/>
        <v>1+11933835.3085236i</v>
      </c>
      <c r="R545" s="160">
        <f t="shared" si="324"/>
        <v>11933835.308523644</v>
      </c>
      <c r="S545" s="160">
        <f t="shared" si="325"/>
        <v>1.5707962429995388</v>
      </c>
      <c r="T545" s="160" t="str">
        <f t="shared" si="317"/>
        <v>1+2.80796124906437i</v>
      </c>
      <c r="U545" s="160">
        <f t="shared" si="326"/>
        <v>2.9807123940841955</v>
      </c>
      <c r="V545" s="160">
        <f t="shared" si="327"/>
        <v>1.228670714636716</v>
      </c>
      <c r="W545" s="98" t="str">
        <f t="shared" si="318"/>
        <v>1-7.95589020568236i</v>
      </c>
      <c r="X545" s="160">
        <f t="shared" si="328"/>
        <v>8.018490441777212</v>
      </c>
      <c r="Y545" s="160">
        <f t="shared" si="329"/>
        <v>-1.4457590159075198</v>
      </c>
      <c r="Z545" s="98" t="str">
        <f t="shared" si="319"/>
        <v>-1385.94740181012-54.472486056174i</v>
      </c>
      <c r="AA545" s="160">
        <f t="shared" si="330"/>
        <v>1387.0174664802755</v>
      </c>
      <c r="AB545" s="160">
        <f t="shared" si="331"/>
        <v>-3.1023094434268543</v>
      </c>
      <c r="AC545" s="171" t="str">
        <f t="shared" si="332"/>
        <v>2.82398638330841E-07+1.07728210354658E-06i</v>
      </c>
      <c r="AD545" s="190">
        <f t="shared" si="333"/>
        <v>-119.06478255966937</v>
      </c>
      <c r="AE545" s="169">
        <f t="shared" si="334"/>
        <v>75.310999208576916</v>
      </c>
      <c r="AF545" s="98" t="str">
        <f t="shared" si="320"/>
        <v>-0.0000119284294234592</v>
      </c>
      <c r="AG545" s="98" t="str">
        <f t="shared" si="321"/>
        <v>0.0655448354562852i</v>
      </c>
      <c r="AH545" s="98">
        <f t="shared" si="335"/>
        <v>6.55448354562852E-2</v>
      </c>
      <c r="AI545" s="98">
        <f t="shared" si="336"/>
        <v>1.5707963267948966</v>
      </c>
      <c r="AJ545" s="98" t="str">
        <f t="shared" si="322"/>
        <v>1+56.6049808517491i</v>
      </c>
      <c r="AK545" s="98">
        <f t="shared" si="337"/>
        <v>56.613813307592004</v>
      </c>
      <c r="AL545" s="98">
        <f t="shared" si="338"/>
        <v>1.5531318744475644</v>
      </c>
      <c r="AM545" s="98" t="str">
        <f t="shared" si="323"/>
        <v>1+144142.010785304i</v>
      </c>
      <c r="AN545" s="98">
        <f t="shared" si="339"/>
        <v>144142.01078877281</v>
      </c>
      <c r="AO545" s="98">
        <f t="shared" si="340"/>
        <v>1.5707893891922189</v>
      </c>
      <c r="AP545" s="168" t="str">
        <f t="shared" si="341"/>
        <v>-0.00818125567110318+0.463281809459039i</v>
      </c>
      <c r="AQ545" s="98">
        <f t="shared" si="342"/>
        <v>-6.6817408888891325</v>
      </c>
      <c r="AR545" s="169">
        <f t="shared" si="343"/>
        <v>91.011701071558718</v>
      </c>
      <c r="AS545" s="168" t="str">
        <f t="shared" si="344"/>
        <v>-5.01395577690255E-07+1.22016631835662E-07i</v>
      </c>
      <c r="AT545" s="190">
        <f t="shared" si="345"/>
        <v>-125.74652344855851</v>
      </c>
      <c r="AU545" s="169">
        <f t="shared" si="346"/>
        <v>166.32270028013568</v>
      </c>
      <c r="AV545" s="225"/>
      <c r="AX545">
        <f t="shared" si="347"/>
        <v>0</v>
      </c>
      <c r="AY545">
        <f t="shared" si="348"/>
        <v>0</v>
      </c>
    </row>
    <row r="546" spans="14:51" x14ac:dyDescent="0.2">
      <c r="N546" s="170">
        <v>28</v>
      </c>
      <c r="O546" s="199">
        <f t="shared" si="314"/>
        <v>1905460.7179632513</v>
      </c>
      <c r="P546" s="189" t="str">
        <f t="shared" si="315"/>
        <v>771.276595744681</v>
      </c>
      <c r="Q546" s="160" t="str">
        <f t="shared" si="316"/>
        <v>1+12211810.0422449i</v>
      </c>
      <c r="R546" s="160">
        <f t="shared" si="324"/>
        <v>12211810.042244941</v>
      </c>
      <c r="S546" s="160">
        <f t="shared" si="325"/>
        <v>1.5707962449069539</v>
      </c>
      <c r="T546" s="160" t="str">
        <f t="shared" si="317"/>
        <v>1+2.8733670687635i</v>
      </c>
      <c r="U546" s="160">
        <f t="shared" si="326"/>
        <v>3.0424066644442105</v>
      </c>
      <c r="V546" s="160">
        <f t="shared" si="327"/>
        <v>1.2358831647285504</v>
      </c>
      <c r="W546" s="98" t="str">
        <f t="shared" si="318"/>
        <v>1-8.14120669482992i</v>
      </c>
      <c r="X546" s="160">
        <f t="shared" si="328"/>
        <v>8.2023927270000616</v>
      </c>
      <c r="Y546" s="160">
        <f t="shared" si="329"/>
        <v>-1.4485766296921816</v>
      </c>
      <c r="Z546" s="98" t="str">
        <f t="shared" si="319"/>
        <v>-1451.31221908043-55.7413132533944i</v>
      </c>
      <c r="AA546" s="160">
        <f t="shared" si="330"/>
        <v>1452.3822676056654</v>
      </c>
      <c r="AB546" s="160">
        <f t="shared" si="331"/>
        <v>-3.103203995351989</v>
      </c>
      <c r="AC546" s="171" t="str">
        <f t="shared" si="332"/>
        <v>2.6961861611368E-07+1.05116588914755E-06i</v>
      </c>
      <c r="AD546" s="190">
        <f t="shared" si="333"/>
        <v>-119.28986004057236</v>
      </c>
      <c r="AE546" s="169">
        <f t="shared" si="334"/>
        <v>75.614058721207556</v>
      </c>
      <c r="AF546" s="98" t="str">
        <f t="shared" si="320"/>
        <v>-0.0000119284294234592</v>
      </c>
      <c r="AG546" s="98" t="str">
        <f t="shared" si="321"/>
        <v>0.0670715708026119i</v>
      </c>
      <c r="AH546" s="98">
        <f t="shared" si="335"/>
        <v>6.7071570802611905E-2</v>
      </c>
      <c r="AI546" s="98">
        <f t="shared" si="336"/>
        <v>1.5707963267948966</v>
      </c>
      <c r="AJ546" s="98" t="str">
        <f t="shared" si="322"/>
        <v>1+57.9234802337816i</v>
      </c>
      <c r="AK546" s="98">
        <f t="shared" si="337"/>
        <v>57.932111668687583</v>
      </c>
      <c r="AL546" s="98">
        <f t="shared" si="338"/>
        <v>1.5535338856679748</v>
      </c>
      <c r="AM546" s="98" t="str">
        <f t="shared" si="323"/>
        <v>1+147499.50952986i</v>
      </c>
      <c r="AN546" s="98">
        <f t="shared" si="339"/>
        <v>147499.50953324983</v>
      </c>
      <c r="AO546" s="98">
        <f t="shared" si="340"/>
        <v>1.5707895471113358</v>
      </c>
      <c r="AP546" s="168" t="str">
        <f t="shared" si="341"/>
        <v>-0.0078131482250723+0.452742583059512i</v>
      </c>
      <c r="AQ546" s="98">
        <f t="shared" si="342"/>
        <v>-6.8816799033964147</v>
      </c>
      <c r="AR546" s="169">
        <f t="shared" si="343"/>
        <v>90.988676573411212</v>
      </c>
      <c r="AS546" s="168" t="str">
        <f t="shared" si="344"/>
        <v>-4.78014130088645E-07+1.13854913799189E-07i</v>
      </c>
      <c r="AT546" s="190">
        <f t="shared" si="345"/>
        <v>-126.1715399439688</v>
      </c>
      <c r="AU546" s="169">
        <f t="shared" si="346"/>
        <v>166.60273529461872</v>
      </c>
      <c r="AV546" s="225"/>
      <c r="AX546">
        <f t="shared" si="347"/>
        <v>0</v>
      </c>
      <c r="AY546">
        <f t="shared" si="348"/>
        <v>0</v>
      </c>
    </row>
    <row r="547" spans="14:51" x14ac:dyDescent="0.2">
      <c r="N547" s="170">
        <v>29</v>
      </c>
      <c r="O547" s="199">
        <f t="shared" si="314"/>
        <v>1949844.5997580495</v>
      </c>
      <c r="P547" s="189" t="str">
        <f t="shared" si="315"/>
        <v>771.276595744681</v>
      </c>
      <c r="Q547" s="160" t="str">
        <f t="shared" si="316"/>
        <v>1+12496259.6392929i</v>
      </c>
      <c r="R547" s="160">
        <f t="shared" si="324"/>
        <v>12496259.639292939</v>
      </c>
      <c r="S547" s="160">
        <f t="shared" si="325"/>
        <v>1.5707962467709511</v>
      </c>
      <c r="T547" s="160" t="str">
        <f t="shared" si="317"/>
        <v>1+2.94029638571597i</v>
      </c>
      <c r="U547" s="160">
        <f t="shared" si="326"/>
        <v>3.1056952258478936</v>
      </c>
      <c r="V547" s="160">
        <f t="shared" si="327"/>
        <v>1.2429665999474462</v>
      </c>
      <c r="W547" s="98" t="str">
        <f t="shared" si="318"/>
        <v>1-8.33083975952856i</v>
      </c>
      <c r="X547" s="160">
        <f t="shared" si="328"/>
        <v>8.3906430682601361</v>
      </c>
      <c r="Y547" s="160">
        <f t="shared" si="329"/>
        <v>-1.451331992596429</v>
      </c>
      <c r="Z547" s="98" t="str">
        <f t="shared" si="319"/>
        <v>-1519.75758528224-57.0396952327245i</v>
      </c>
      <c r="AA547" s="160">
        <f t="shared" si="330"/>
        <v>1520.8276183891278</v>
      </c>
      <c r="AB547" s="160">
        <f t="shared" si="331"/>
        <v>-3.1040781609848311</v>
      </c>
      <c r="AC547" s="171" t="str">
        <f t="shared" si="332"/>
        <v>2.57419946914161E-07+1.02575042705217E-06i</v>
      </c>
      <c r="AD547" s="190">
        <f t="shared" si="333"/>
        <v>-119.51391593087118</v>
      </c>
      <c r="AE547" s="169">
        <f t="shared" si="334"/>
        <v>75.912124892822362</v>
      </c>
      <c r="AF547" s="98" t="str">
        <f t="shared" si="320"/>
        <v>-0.0000119284294234592</v>
      </c>
      <c r="AG547" s="98" t="str">
        <f t="shared" si="321"/>
        <v>0.0686338683835752i</v>
      </c>
      <c r="AH547" s="98">
        <f t="shared" si="335"/>
        <v>6.86338683835752E-2</v>
      </c>
      <c r="AI547" s="98">
        <f t="shared" si="336"/>
        <v>1.5707963267948966</v>
      </c>
      <c r="AJ547" s="98" t="str">
        <f t="shared" si="322"/>
        <v>1+59.2726914117411i</v>
      </c>
      <c r="AK547" s="98">
        <f t="shared" si="337"/>
        <v>59.281126399483057</v>
      </c>
      <c r="AL547" s="98">
        <f t="shared" si="338"/>
        <v>1.553926751387966</v>
      </c>
      <c r="AM547" s="98" t="str">
        <f t="shared" si="323"/>
        <v>1+150935.214466753i</v>
      </c>
      <c r="AN547" s="98">
        <f t="shared" si="339"/>
        <v>150935.21447006566</v>
      </c>
      <c r="AO547" s="98">
        <f t="shared" si="340"/>
        <v>1.5707897014357748</v>
      </c>
      <c r="AP547" s="168" t="str">
        <f t="shared" si="341"/>
        <v>-0.00746159869228543+0.44244283473142i</v>
      </c>
      <c r="AQ547" s="98">
        <f t="shared" si="342"/>
        <v>-7.0816216619036005</v>
      </c>
      <c r="AR547" s="169">
        <f t="shared" si="343"/>
        <v>90.966175867879357</v>
      </c>
      <c r="AS547" s="168" t="str">
        <f t="shared" si="344"/>
        <v>-4.5575669101119E-07+1.06239872984009E-07i</v>
      </c>
      <c r="AT547" s="190">
        <f t="shared" si="345"/>
        <v>-126.59553759277479</v>
      </c>
      <c r="AU547" s="169">
        <f t="shared" si="346"/>
        <v>166.87830076070179</v>
      </c>
      <c r="AV547" s="225"/>
      <c r="AX547">
        <f t="shared" si="347"/>
        <v>0</v>
      </c>
      <c r="AY547">
        <f t="shared" si="348"/>
        <v>0</v>
      </c>
    </row>
    <row r="548" spans="14:51" x14ac:dyDescent="0.2">
      <c r="N548" s="170">
        <v>30</v>
      </c>
      <c r="O548" s="199">
        <f t="shared" si="314"/>
        <v>1995262.31496888</v>
      </c>
      <c r="P548" s="189" t="str">
        <f t="shared" si="315"/>
        <v>771.276595744681</v>
      </c>
      <c r="Q548" s="160" t="str">
        <f t="shared" si="316"/>
        <v>1+12787334.9186092i</v>
      </c>
      <c r="R548" s="160">
        <f t="shared" si="324"/>
        <v>12787334.918609239</v>
      </c>
      <c r="S548" s="160">
        <f t="shared" si="325"/>
        <v>1.5707962485925184</v>
      </c>
      <c r="T548" s="160" t="str">
        <f t="shared" si="317"/>
        <v>1+3.00878468673158i</v>
      </c>
      <c r="U548" s="160">
        <f t="shared" si="326"/>
        <v>3.1706127627180285</v>
      </c>
      <c r="V548" s="160">
        <f t="shared" si="327"/>
        <v>1.2499219318108354</v>
      </c>
      <c r="W548" s="98" t="str">
        <f t="shared" si="318"/>
        <v>1-8.52488994573947i</v>
      </c>
      <c r="X548" s="160">
        <f t="shared" si="328"/>
        <v>8.5833413416320514</v>
      </c>
      <c r="Y548" s="160">
        <f t="shared" si="329"/>
        <v>-1.4540263981100969</v>
      </c>
      <c r="Z548" s="98" t="str">
        <f t="shared" si="319"/>
        <v>-1591.42868221399-58.368320413477i</v>
      </c>
      <c r="AA548" s="160">
        <f t="shared" si="330"/>
        <v>1592.4987005964078</v>
      </c>
      <c r="AB548" s="160">
        <f t="shared" si="331"/>
        <v>-3.104932405961097</v>
      </c>
      <c r="AC548" s="171" t="str">
        <f t="shared" si="332"/>
        <v>2.4577592390277E-07+0.0000010010126876782i</v>
      </c>
      <c r="AD548" s="190">
        <f t="shared" si="333"/>
        <v>-119.73698772944309</v>
      </c>
      <c r="AE548" s="169">
        <f t="shared" si="334"/>
        <v>76.205202516919613</v>
      </c>
      <c r="AF548" s="98" t="str">
        <f t="shared" si="320"/>
        <v>-0.0000119284294234592</v>
      </c>
      <c r="AG548" s="98" t="str">
        <f t="shared" si="321"/>
        <v>0.070232556550032i</v>
      </c>
      <c r="AH548" s="98">
        <f t="shared" si="335"/>
        <v>7.0232556550031994E-2</v>
      </c>
      <c r="AI548" s="98">
        <f t="shared" si="336"/>
        <v>1.5707963267948966</v>
      </c>
      <c r="AJ548" s="98" t="str">
        <f t="shared" si="322"/>
        <v>1+60.6533297552544i</v>
      </c>
      <c r="AK548" s="98">
        <f t="shared" si="337"/>
        <v>60.661572765628392</v>
      </c>
      <c r="AL548" s="98">
        <f t="shared" si="338"/>
        <v>1.554310679424775</v>
      </c>
      <c r="AM548" s="98" t="str">
        <f t="shared" si="323"/>
        <v>1+154450.947252221i</v>
      </c>
      <c r="AN548" s="98">
        <f t="shared" si="339"/>
        <v>154450.94725545828</v>
      </c>
      <c r="AO548" s="98">
        <f t="shared" si="340"/>
        <v>1.5707898522473605</v>
      </c>
      <c r="AP548" s="168" t="str">
        <f t="shared" si="341"/>
        <v>-0.00712586269271271+0.432377141571509i</v>
      </c>
      <c r="AQ548" s="98">
        <f t="shared" si="342"/>
        <v>-7.2815660409806151</v>
      </c>
      <c r="AR548" s="169">
        <f t="shared" si="343"/>
        <v>90.944187052600839</v>
      </c>
      <c r="AS548" s="168" t="str">
        <f t="shared" si="344"/>
        <v>-4.3456637006202E-07+9.91348124781182E-08i</v>
      </c>
      <c r="AT548" s="190">
        <f t="shared" si="345"/>
        <v>-127.01855377042369</v>
      </c>
      <c r="AU548" s="169">
        <f t="shared" si="346"/>
        <v>167.14938956952045</v>
      </c>
      <c r="AV548" s="225"/>
      <c r="AX548">
        <f t="shared" si="347"/>
        <v>0</v>
      </c>
      <c r="AY548">
        <f t="shared" si="348"/>
        <v>0</v>
      </c>
    </row>
    <row r="549" spans="14:51" x14ac:dyDescent="0.2">
      <c r="N549" s="170">
        <v>31</v>
      </c>
      <c r="O549" s="199">
        <f t="shared" si="314"/>
        <v>2041737.9446695296</v>
      </c>
      <c r="P549" s="189" t="str">
        <f t="shared" si="315"/>
        <v>771.276595744681</v>
      </c>
      <c r="Q549" s="160" t="str">
        <f t="shared" si="316"/>
        <v>1+13085190.2121598i</v>
      </c>
      <c r="R549" s="160">
        <f t="shared" si="324"/>
        <v>13085190.212159837</v>
      </c>
      <c r="S549" s="160">
        <f t="shared" si="325"/>
        <v>1.570796250372622</v>
      </c>
      <c r="T549" s="160" t="str">
        <f t="shared" si="317"/>
        <v>1+3.07886828521406i</v>
      </c>
      <c r="U549" s="160">
        <f t="shared" si="326"/>
        <v>3.237194760544531</v>
      </c>
      <c r="V549" s="160">
        <f t="shared" si="327"/>
        <v>1.2567501554280631</v>
      </c>
      <c r="W549" s="98" t="str">
        <f t="shared" si="318"/>
        <v>1-8.72346014143983i</v>
      </c>
      <c r="X549" s="160">
        <f t="shared" si="328"/>
        <v>8.780589777417541</v>
      </c>
      <c r="Y549" s="160">
        <f t="shared" si="329"/>
        <v>-1.4566611182712192</v>
      </c>
      <c r="Z549" s="98" t="str">
        <f t="shared" si="319"/>
        <v>-1666.47753388133-59.7278932503085i</v>
      </c>
      <c r="AA549" s="160">
        <f t="shared" si="330"/>
        <v>1667.5475382019306</v>
      </c>
      <c r="AB549" s="160">
        <f t="shared" si="331"/>
        <v>-3.1057671852116044</v>
      </c>
      <c r="AC549" s="171" t="str">
        <f t="shared" si="332"/>
        <v>2.34661089895211E-07+9.76930636503417E-07i</v>
      </c>
      <c r="AD549" s="190">
        <f t="shared" si="333"/>
        <v>-119.95911188390568</v>
      </c>
      <c r="AE549" s="169">
        <f t="shared" si="334"/>
        <v>76.49330179221478</v>
      </c>
      <c r="AF549" s="98" t="str">
        <f t="shared" si="320"/>
        <v>-0.0000119284294234592</v>
      </c>
      <c r="AG549" s="98" t="str">
        <f t="shared" si="321"/>
        <v>0.0718684829476095i</v>
      </c>
      <c r="AH549" s="98">
        <f t="shared" si="335"/>
        <v>7.1868482947609502E-2</v>
      </c>
      <c r="AI549" s="98">
        <f t="shared" si="336"/>
        <v>1.5707963267948966</v>
      </c>
      <c r="AJ549" s="98" t="str">
        <f t="shared" si="322"/>
        <v>1+62.0661272970454i</v>
      </c>
      <c r="AK549" s="98">
        <f t="shared" si="337"/>
        <v>62.074182698228441</v>
      </c>
      <c r="AL549" s="98">
        <f t="shared" si="338"/>
        <v>1.5546858728891386</v>
      </c>
      <c r="AM549" s="98" t="str">
        <f t="shared" si="323"/>
        <v>1+158048.571974322i</v>
      </c>
      <c r="AN549" s="98">
        <f t="shared" si="339"/>
        <v>158048.57197748555</v>
      </c>
      <c r="AO549" s="98">
        <f t="shared" si="340"/>
        <v>1.5707899996260555</v>
      </c>
      <c r="AP549" s="168" t="str">
        <f t="shared" si="341"/>
        <v>-0.00680522927430275+0.422540202231014i</v>
      </c>
      <c r="AQ549" s="98">
        <f t="shared" si="342"/>
        <v>-7.4815129227465471</v>
      </c>
      <c r="AR549" s="169">
        <f t="shared" si="343"/>
        <v>90.922698494769122</v>
      </c>
      <c r="AS549" s="168" t="str">
        <f t="shared" si="344"/>
        <v>-4.14389391232322E-07+9.25055074135763E-08i</v>
      </c>
      <c r="AT549" s="190">
        <f t="shared" si="345"/>
        <v>-127.44062480665222</v>
      </c>
      <c r="AU549" s="169">
        <f t="shared" si="346"/>
        <v>167.41600028698389</v>
      </c>
      <c r="AV549" s="225"/>
      <c r="AX549">
        <f t="shared" si="347"/>
        <v>0</v>
      </c>
      <c r="AY549">
        <f t="shared" si="348"/>
        <v>0</v>
      </c>
    </row>
    <row r="550" spans="14:51" x14ac:dyDescent="0.2">
      <c r="N550" s="170">
        <v>32</v>
      </c>
      <c r="O550" s="199">
        <f t="shared" si="314"/>
        <v>2089296.1308540432</v>
      </c>
      <c r="P550" s="189" t="str">
        <f t="shared" si="315"/>
        <v>771.276595744681</v>
      </c>
      <c r="Q550" s="160" t="str">
        <f t="shared" si="316"/>
        <v>1+13389983.4467639i</v>
      </c>
      <c r="R550" s="160">
        <f t="shared" si="324"/>
        <v>13389983.446763935</v>
      </c>
      <c r="S550" s="160">
        <f t="shared" si="325"/>
        <v>1.5707962521122054</v>
      </c>
      <c r="T550" s="160" t="str">
        <f t="shared" si="317"/>
        <v>1+3.15058434041503i</v>
      </c>
      <c r="U550" s="160">
        <f t="shared" si="326"/>
        <v>3.3054775276907287</v>
      </c>
      <c r="V550" s="160">
        <f t="shared" si="327"/>
        <v>1.2634523434369955</v>
      </c>
      <c r="W550" s="98" t="str">
        <f t="shared" si="318"/>
        <v>1-8.92665563117591i</v>
      </c>
      <c r="X550" s="160">
        <f t="shared" si="328"/>
        <v>8.9824930146148514</v>
      </c>
      <c r="Y550" s="160">
        <f t="shared" si="329"/>
        <v>-1.4592374036477693</v>
      </c>
      <c r="Z550" s="98" t="str">
        <f t="shared" si="319"/>
        <v>-1745.06332896068-61.119134606734i</v>
      </c>
      <c r="AA550" s="160">
        <f t="shared" si="330"/>
        <v>1746.1333198522977</v>
      </c>
      <c r="AB550" s="160">
        <f t="shared" si="331"/>
        <v>-3.1065829432129872</v>
      </c>
      <c r="AC550" s="171" t="str">
        <f t="shared" si="332"/>
        <v>2.24051176919624E-07+9.53483180164544E-07i</v>
      </c>
      <c r="AD550" s="190">
        <f t="shared" si="333"/>
        <v>-120.1803237942829</v>
      </c>
      <c r="AE550" s="169">
        <f t="shared" si="334"/>
        <v>76.776437990644624</v>
      </c>
      <c r="AF550" s="98" t="str">
        <f t="shared" si="320"/>
        <v>-0.0000119284294234592</v>
      </c>
      <c r="AG550" s="98" t="str">
        <f t="shared" si="321"/>
        <v>0.0735425149661378i</v>
      </c>
      <c r="AH550" s="98">
        <f t="shared" si="335"/>
        <v>7.3542514966137798E-2</v>
      </c>
      <c r="AI550" s="98">
        <f t="shared" si="336"/>
        <v>1.5707963267948966</v>
      </c>
      <c r="AJ550" s="98" t="str">
        <f t="shared" si="322"/>
        <v>1+63.5118331210722i</v>
      </c>
      <c r="AK550" s="98">
        <f t="shared" si="337"/>
        <v>63.519705181926994</v>
      </c>
      <c r="AL550" s="98">
        <f t="shared" si="338"/>
        <v>1.5550525302908276</v>
      </c>
      <c r="AM550" s="98" t="str">
        <f t="shared" si="323"/>
        <v>1+161729.996141305i</v>
      </c>
      <c r="AN550" s="98">
        <f t="shared" si="339"/>
        <v>161729.99614439654</v>
      </c>
      <c r="AO550" s="98">
        <f t="shared" si="340"/>
        <v>1.5707901436500018</v>
      </c>
      <c r="AP550" s="168" t="str">
        <f t="shared" si="341"/>
        <v>-0.00649901941503734+0.412926834274407i</v>
      </c>
      <c r="AQ550" s="98">
        <f t="shared" si="342"/>
        <v>-7.6814621946203756</v>
      </c>
      <c r="AR550" s="169">
        <f t="shared" si="343"/>
        <v>90.901698825089383</v>
      </c>
      <c r="AS550" s="168" t="str">
        <f t="shared" si="344"/>
        <v>-3.95174904068002E-07+8.63200375010745E-08i</v>
      </c>
      <c r="AT550" s="190">
        <f t="shared" si="345"/>
        <v>-127.86178598890328</v>
      </c>
      <c r="AU550" s="169">
        <f t="shared" si="346"/>
        <v>167.67813681573401</v>
      </c>
      <c r="AV550" s="225"/>
      <c r="AX550">
        <f t="shared" si="347"/>
        <v>0</v>
      </c>
      <c r="AY550">
        <f t="shared" si="348"/>
        <v>0</v>
      </c>
    </row>
    <row r="551" spans="14:51" x14ac:dyDescent="0.2">
      <c r="N551" s="170">
        <v>33</v>
      </c>
      <c r="O551" s="199">
        <f t="shared" si="314"/>
        <v>2137962.0895022359</v>
      </c>
      <c r="P551" s="189" t="str">
        <f t="shared" si="315"/>
        <v>771.276595744681</v>
      </c>
      <c r="Q551" s="160" t="str">
        <f t="shared" si="316"/>
        <v>1+13701876.2278288i</v>
      </c>
      <c r="R551" s="160">
        <f t="shared" si="324"/>
        <v>13701876.227828838</v>
      </c>
      <c r="S551" s="160">
        <f t="shared" si="325"/>
        <v>1.5707962538121909</v>
      </c>
      <c r="T551" s="160" t="str">
        <f t="shared" si="317"/>
        <v>1+3.22397087713617i</v>
      </c>
      <c r="U551" s="160">
        <f t="shared" si="326"/>
        <v>3.3754982175409549</v>
      </c>
      <c r="V551" s="160">
        <f t="shared" si="327"/>
        <v>1.2700296401220159</v>
      </c>
      <c r="W551" s="98" t="str">
        <f t="shared" si="318"/>
        <v>1-9.13458415188582i</v>
      </c>
      <c r="X551" s="160">
        <f t="shared" si="328"/>
        <v>9.1891581566476273</v>
      </c>
      <c r="Y551" s="160">
        <f t="shared" si="329"/>
        <v>-1.4617564833507821</v>
      </c>
      <c r="Z551" s="98" t="str">
        <f t="shared" si="319"/>
        <v>-1827.35275845951-62.5427821373349i</v>
      </c>
      <c r="AA551" s="160">
        <f t="shared" si="330"/>
        <v>1828.4227365265006</v>
      </c>
      <c r="AB551" s="160">
        <f t="shared" si="331"/>
        <v>-3.1073801142322242</v>
      </c>
      <c r="AC551" s="171" t="str">
        <f t="shared" si="332"/>
        <v>2.1392304887209E-07+9.30650115849901E-07i</v>
      </c>
      <c r="AD551" s="190">
        <f t="shared" si="333"/>
        <v>-120.4006578190201</v>
      </c>
      <c r="AE551" s="169">
        <f t="shared" si="334"/>
        <v>77.054631133612403</v>
      </c>
      <c r="AF551" s="98" t="str">
        <f t="shared" si="320"/>
        <v>-0.0000119284294234592</v>
      </c>
      <c r="AG551" s="98" t="str">
        <f t="shared" si="321"/>
        <v>0.0752555401995513i</v>
      </c>
      <c r="AH551" s="98">
        <f t="shared" si="335"/>
        <v>7.5255540199551302E-2</v>
      </c>
      <c r="AI551" s="98">
        <f t="shared" si="336"/>
        <v>1.5707963267948966</v>
      </c>
      <c r="AJ551" s="98" t="str">
        <f t="shared" si="322"/>
        <v>1+64.9912137596977i</v>
      </c>
      <c r="AK551" s="98">
        <f t="shared" si="337"/>
        <v>64.998906652025468</v>
      </c>
      <c r="AL551" s="98">
        <f t="shared" si="338"/>
        <v>1.5554108456418823</v>
      </c>
      <c r="AM551" s="98" t="str">
        <f t="shared" si="323"/>
        <v>1+165497.17169299i</v>
      </c>
      <c r="AN551" s="98">
        <f t="shared" si="339"/>
        <v>165497.17169601118</v>
      </c>
      <c r="AO551" s="98">
        <f t="shared" si="340"/>
        <v>1.5707902843955628</v>
      </c>
      <c r="AP551" s="168" t="str">
        <f t="shared" si="341"/>
        <v>-0.00620658459182868+0.403531971589907i</v>
      </c>
      <c r="AQ551" s="98">
        <f t="shared" si="342"/>
        <v>-7.8814137490828173</v>
      </c>
      <c r="AR551" s="169">
        <f t="shared" si="343"/>
        <v>90.881176931865838</v>
      </c>
      <c r="AS551" s="168" t="str">
        <f t="shared" si="344"/>
        <v>-3.76874807608252E-07+8.05486310104609E-08i</v>
      </c>
      <c r="AT551" s="190">
        <f t="shared" si="345"/>
        <v>-128.28207156810294</v>
      </c>
      <c r="AU551" s="169">
        <f t="shared" si="346"/>
        <v>167.9358080654782</v>
      </c>
      <c r="AV551" s="225"/>
      <c r="AX551">
        <f t="shared" si="347"/>
        <v>0</v>
      </c>
      <c r="AY551">
        <f t="shared" si="348"/>
        <v>0</v>
      </c>
    </row>
    <row r="552" spans="14:51" x14ac:dyDescent="0.2">
      <c r="N552" s="170">
        <v>34</v>
      </c>
      <c r="O552" s="199">
        <f t="shared" si="314"/>
        <v>2187761.6239495561</v>
      </c>
      <c r="P552" s="189" t="str">
        <f t="shared" si="315"/>
        <v>771.276595744681</v>
      </c>
      <c r="Q552" s="160" t="str">
        <f t="shared" si="316"/>
        <v>1+14021033.9250354i</v>
      </c>
      <c r="R552" s="160">
        <f t="shared" si="324"/>
        <v>14021033.925035434</v>
      </c>
      <c r="S552" s="160">
        <f t="shared" si="325"/>
        <v>1.5707962554734802</v>
      </c>
      <c r="T552" s="160" t="str">
        <f t="shared" si="317"/>
        <v>1+3.29906680589069i</v>
      </c>
      <c r="U552" s="160">
        <f t="shared" si="326"/>
        <v>3.4472948509998091</v>
      </c>
      <c r="V552" s="160">
        <f t="shared" si="327"/>
        <v>1.2764832557232646</v>
      </c>
      <c r="W552" s="98" t="str">
        <f t="shared" si="318"/>
        <v>1-9.3473559500236i</v>
      </c>
      <c r="X552" s="160">
        <f t="shared" si="328"/>
        <v>9.4006948283859106</v>
      </c>
      <c r="Y552" s="160">
        <f t="shared" si="329"/>
        <v>-1.4642195650763994</v>
      </c>
      <c r="Z552" s="98" t="str">
        <f t="shared" si="319"/>
        <v>-1913.52036929056-63.9995906788768i</v>
      </c>
      <c r="AA552" s="160">
        <f t="shared" si="330"/>
        <v>1914.5903351100842</v>
      </c>
      <c r="AB552" s="160">
        <f t="shared" si="331"/>
        <v>-3.1081591225651772</v>
      </c>
      <c r="AC552" s="171" t="str">
        <f t="shared" si="332"/>
        <v>2.04254647088985E-07+9.08412083774789E-07i</v>
      </c>
      <c r="AD552" s="190">
        <f t="shared" si="333"/>
        <v>-120.62014728315511</v>
      </c>
      <c r="AE552" s="169">
        <f t="shared" si="334"/>
        <v>77.327905677188923</v>
      </c>
      <c r="AF552" s="98" t="str">
        <f t="shared" si="320"/>
        <v>-0.0000119284294234592</v>
      </c>
      <c r="AG552" s="98" t="str">
        <f t="shared" si="321"/>
        <v>0.0770084669165034i</v>
      </c>
      <c r="AH552" s="98">
        <f t="shared" si="335"/>
        <v>7.7008466916503399E-2</v>
      </c>
      <c r="AI552" s="98">
        <f t="shared" si="336"/>
        <v>1.5707963267948966</v>
      </c>
      <c r="AJ552" s="98" t="str">
        <f t="shared" si="322"/>
        <v>1+66.5050536001192i</v>
      </c>
      <c r="AK552" s="98">
        <f t="shared" si="337"/>
        <v>66.512571400861702</v>
      </c>
      <c r="AL552" s="98">
        <f t="shared" si="338"/>
        <v>1.5557610085576012</v>
      </c>
      <c r="AM552" s="98" t="str">
        <f t="shared" si="323"/>
        <v>1+169352.096035722i</v>
      </c>
      <c r="AN552" s="98">
        <f t="shared" si="339"/>
        <v>169352.09603867441</v>
      </c>
      <c r="AO552" s="98">
        <f t="shared" si="340"/>
        <v>1.5707904219373636</v>
      </c>
      <c r="AP552" s="168" t="str">
        <f t="shared" si="341"/>
        <v>-0.00592730541330025+0.39435066185111i</v>
      </c>
      <c r="AQ552" s="98">
        <f t="shared" si="342"/>
        <v>-8.0813674834491049</v>
      </c>
      <c r="AR552" s="169">
        <f t="shared" si="343"/>
        <v>90.86112195521784</v>
      </c>
      <c r="AS552" s="168" t="str">
        <f t="shared" si="344"/>
        <v>-3.59443586145516E-07+7.51635194040405E-08i</v>
      </c>
      <c r="AT552" s="190">
        <f t="shared" si="345"/>
        <v>-128.70151476660422</v>
      </c>
      <c r="AU552" s="169">
        <f t="shared" si="346"/>
        <v>168.18902763240675</v>
      </c>
      <c r="AV552" s="225"/>
      <c r="AX552">
        <f t="shared" si="347"/>
        <v>0</v>
      </c>
      <c r="AY552">
        <f t="shared" si="348"/>
        <v>0</v>
      </c>
    </row>
    <row r="553" spans="14:51" x14ac:dyDescent="0.2">
      <c r="N553" s="170">
        <v>35</v>
      </c>
      <c r="O553" s="199">
        <f t="shared" si="314"/>
        <v>2238721.1385683389</v>
      </c>
      <c r="P553" s="189" t="str">
        <f t="shared" si="315"/>
        <v>771.276595744681</v>
      </c>
      <c r="Q553" s="160" t="str">
        <f t="shared" si="316"/>
        <v>1+14347625.7600194i</v>
      </c>
      <c r="R553" s="160">
        <f t="shared" si="324"/>
        <v>14347625.760019435</v>
      </c>
      <c r="S553" s="160">
        <f t="shared" si="325"/>
        <v>1.5707962570969538</v>
      </c>
      <c r="T553" s="160" t="str">
        <f t="shared" si="317"/>
        <v>1+3.37591194353397i</v>
      </c>
      <c r="U553" s="160">
        <f t="shared" si="326"/>
        <v>3.520906339352881</v>
      </c>
      <c r="V553" s="160">
        <f t="shared" si="327"/>
        <v>1.2828144609448486</v>
      </c>
      <c r="W553" s="98" t="str">
        <f t="shared" si="318"/>
        <v>1-9.56508384001292i</v>
      </c>
      <c r="X553" s="160">
        <f t="shared" si="328"/>
        <v>9.6172152344884285</v>
      </c>
      <c r="Y553" s="160">
        <f t="shared" si="329"/>
        <v>-1.4666278351744721</v>
      </c>
      <c r="Z553" s="98" t="str">
        <f t="shared" si="319"/>
        <v>-2003.74893450908-65.490332650531i</v>
      </c>
      <c r="AA553" s="160">
        <f t="shared" si="330"/>
        <v>2004.8188886323251</v>
      </c>
      <c r="AB553" s="160">
        <f t="shared" si="331"/>
        <v>-3.1089203827692828</v>
      </c>
      <c r="AC553" s="171" t="str">
        <f t="shared" si="332"/>
        <v>1.9502493867544E-07+8.86750522542476E-07i</v>
      </c>
      <c r="AD553" s="190">
        <f t="shared" si="333"/>
        <v>-120.83882448845469</v>
      </c>
      <c r="AE553" s="169">
        <f t="shared" si="334"/>
        <v>77.596290206858086</v>
      </c>
      <c r="AF553" s="98" t="str">
        <f t="shared" si="320"/>
        <v>-0.0000119284294234592</v>
      </c>
      <c r="AG553" s="98" t="str">
        <f t="shared" si="321"/>
        <v>0.0788022245419421i</v>
      </c>
      <c r="AH553" s="98">
        <f t="shared" si="335"/>
        <v>7.8802224541942106E-2</v>
      </c>
      <c r="AI553" s="98">
        <f t="shared" si="336"/>
        <v>1.5707963267948966</v>
      </c>
      <c r="AJ553" s="98" t="str">
        <f t="shared" si="322"/>
        <v>1+68.0541553002576i</v>
      </c>
      <c r="AK553" s="98">
        <f t="shared" si="337"/>
        <v>68.061501993649685</v>
      </c>
      <c r="AL553" s="98">
        <f t="shared" si="338"/>
        <v>1.5561032043553209</v>
      </c>
      <c r="AM553" s="98" t="str">
        <f t="shared" si="323"/>
        <v>1+173296.813101411i</v>
      </c>
      <c r="AN553" s="98">
        <f t="shared" si="339"/>
        <v>173296.81310429622</v>
      </c>
      <c r="AO553" s="98">
        <f t="shared" si="340"/>
        <v>1.5707905563483311</v>
      </c>
      <c r="AP553" s="168" t="str">
        <f t="shared" si="341"/>
        <v>-0.00566059031362345+0.385378064029117i</v>
      </c>
      <c r="AQ553" s="98">
        <f t="shared" si="342"/>
        <v>-8.2813232996518451</v>
      </c>
      <c r="AR553" s="169">
        <f t="shared" si="343"/>
        <v>90.841523281422525</v>
      </c>
      <c r="AS553" s="168" t="str">
        <f t="shared" si="344"/>
        <v>-3.42838155933008E-07+7.01388018856339E-08i</v>
      </c>
      <c r="AT553" s="190">
        <f t="shared" si="345"/>
        <v>-129.12014778810655</v>
      </c>
      <c r="AU553" s="169">
        <f t="shared" si="346"/>
        <v>168.43781348828063</v>
      </c>
      <c r="AV553" s="225"/>
      <c r="AX553">
        <f t="shared" si="347"/>
        <v>0</v>
      </c>
      <c r="AY553">
        <f t="shared" si="348"/>
        <v>0</v>
      </c>
    </row>
    <row r="554" spans="14:51" x14ac:dyDescent="0.2">
      <c r="N554" s="170">
        <v>36</v>
      </c>
      <c r="O554" s="199">
        <f t="shared" si="314"/>
        <v>2290867.6527677765</v>
      </c>
      <c r="P554" s="189" t="str">
        <f t="shared" si="315"/>
        <v>771.276595744681</v>
      </c>
      <c r="Q554" s="160" t="str">
        <f t="shared" si="316"/>
        <v>1+14681824.8960948i</v>
      </c>
      <c r="R554" s="160">
        <f t="shared" si="324"/>
        <v>14681824.896094834</v>
      </c>
      <c r="S554" s="160">
        <f t="shared" si="325"/>
        <v>1.5707962586834727</v>
      </c>
      <c r="T554" s="160" t="str">
        <f t="shared" si="317"/>
        <v>1+3.45454703437524i</v>
      </c>
      <c r="U554" s="160">
        <f t="shared" si="326"/>
        <v>3.5963725075012407</v>
      </c>
      <c r="V554" s="160">
        <f t="shared" si="327"/>
        <v>1.289024581668077</v>
      </c>
      <c r="W554" s="98" t="str">
        <f t="shared" si="318"/>
        <v>1-9.78788326406317i</v>
      </c>
      <c r="X554" s="160">
        <f t="shared" si="328"/>
        <v>9.8388342190997342</v>
      </c>
      <c r="Y554" s="160">
        <f t="shared" si="329"/>
        <v>-1.468982458741531</v>
      </c>
      <c r="Z554" s="98" t="str">
        <f t="shared" si="319"/>
        <v>-2098.22984099911-67.0157984634241i</v>
      </c>
      <c r="AA554" s="160">
        <f t="shared" si="330"/>
        <v>2099.2997839524587</v>
      </c>
      <c r="AB554" s="160">
        <f t="shared" si="331"/>
        <v>-3.1096642998905719</v>
      </c>
      <c r="AC554" s="171" t="str">
        <f t="shared" si="332"/>
        <v>1.8621386743888E-07+8.65647627206443E-07i</v>
      </c>
      <c r="AD554" s="190">
        <f t="shared" si="333"/>
        <v>-121.05672072533173</v>
      </c>
      <c r="AE554" s="169">
        <f t="shared" si="334"/>
        <v>77.859817142287838</v>
      </c>
      <c r="AF554" s="98" t="str">
        <f t="shared" si="320"/>
        <v>-0.0000119284294234592</v>
      </c>
      <c r="AG554" s="98" t="str">
        <f t="shared" si="321"/>
        <v>0.0806377641499039i</v>
      </c>
      <c r="AH554" s="98">
        <f t="shared" si="335"/>
        <v>8.0637764149903896E-2</v>
      </c>
      <c r="AI554" s="98">
        <f t="shared" si="336"/>
        <v>1.5707963267948966</v>
      </c>
      <c r="AJ554" s="98" t="str">
        <f t="shared" si="322"/>
        <v>1+69.6393402143402i</v>
      </c>
      <c r="AK554" s="98">
        <f t="shared" si="337"/>
        <v>69.646519694013563</v>
      </c>
      <c r="AL554" s="98">
        <f t="shared" si="338"/>
        <v>1.5564376141510357</v>
      </c>
      <c r="AM554" s="98" t="str">
        <f t="shared" si="323"/>
        <v>1+177333.414431262i</v>
      </c>
      <c r="AN554" s="98">
        <f t="shared" si="339"/>
        <v>177333.41443408155</v>
      </c>
      <c r="AO554" s="98">
        <f t="shared" si="340"/>
        <v>1.5707906876997313</v>
      </c>
      <c r="AP554" s="168" t="str">
        <f t="shared" si="341"/>
        <v>-0.00540587430470325+0.376609445954493i</v>
      </c>
      <c r="AQ554" s="98">
        <f t="shared" si="342"/>
        <v>-8.481281104033469</v>
      </c>
      <c r="AR554" s="169">
        <f t="shared" si="343"/>
        <v>90.822370537381104</v>
      </c>
      <c r="AS554" s="168" t="str">
        <f t="shared" si="344"/>
        <v>-3.27017722035207E-07+6.54503191803574E-08i</v>
      </c>
      <c r="AT554" s="190">
        <f t="shared" si="345"/>
        <v>-129.53800182936521</v>
      </c>
      <c r="AU554" s="169">
        <f t="shared" si="346"/>
        <v>168.68218767966891</v>
      </c>
      <c r="AV554" s="225"/>
      <c r="AX554">
        <f t="shared" si="347"/>
        <v>0</v>
      </c>
      <c r="AY554">
        <f t="shared" si="348"/>
        <v>0</v>
      </c>
    </row>
    <row r="555" spans="14:51" x14ac:dyDescent="0.2">
      <c r="N555" s="170">
        <v>37</v>
      </c>
      <c r="O555" s="199">
        <f t="shared" si="314"/>
        <v>2344228.8153199251</v>
      </c>
      <c r="P555" s="189" t="str">
        <f t="shared" si="315"/>
        <v>771.276595744681</v>
      </c>
      <c r="Q555" s="160" t="str">
        <f t="shared" si="316"/>
        <v>1+15023808.5300669i</v>
      </c>
      <c r="R555" s="160">
        <f t="shared" si="324"/>
        <v>15023808.530066933</v>
      </c>
      <c r="S555" s="160">
        <f t="shared" si="325"/>
        <v>1.5707962602338779</v>
      </c>
      <c r="T555" s="160" t="str">
        <f t="shared" si="317"/>
        <v>1+3.53501377178045i</v>
      </c>
      <c r="U555" s="160">
        <f t="shared" si="326"/>
        <v>3.6737341175808362</v>
      </c>
      <c r="V555" s="160">
        <f t="shared" si="327"/>
        <v>1.2951149938739155</v>
      </c>
      <c r="W555" s="98" t="str">
        <f t="shared" si="318"/>
        <v>1-10.0158723533779i</v>
      </c>
      <c r="X555" s="160">
        <f t="shared" si="328"/>
        <v>10.065669326932994</v>
      </c>
      <c r="Y555" s="160">
        <f t="shared" si="329"/>
        <v>-1.4712845797360412</v>
      </c>
      <c r="Z555" s="98" t="str">
        <f t="shared" si="319"/>
        <v>-2197.16349543052-68.5767969397213i</v>
      </c>
      <c r="AA555" s="160">
        <f t="shared" si="330"/>
        <v>2198.2334277166678</v>
      </c>
      <c r="AB555" s="160">
        <f t="shared" si="331"/>
        <v>-3.1103912696851634</v>
      </c>
      <c r="AC555" s="171" t="str">
        <f t="shared" si="332"/>
        <v>1.7780230728587E-07+8.45086309861254E-07i</v>
      </c>
      <c r="AD555" s="190">
        <f t="shared" si="333"/>
        <v>-121.27386628636685</v>
      </c>
      <c r="AE555" s="169">
        <f t="shared" si="334"/>
        <v>78.118522452495398</v>
      </c>
      <c r="AF555" s="98" t="str">
        <f t="shared" si="320"/>
        <v>-0.0000119284294234592</v>
      </c>
      <c r="AG555" s="98" t="str">
        <f t="shared" si="321"/>
        <v>0.0825160589677849i</v>
      </c>
      <c r="AH555" s="98">
        <f t="shared" si="335"/>
        <v>8.2516058967784897E-2</v>
      </c>
      <c r="AI555" s="98">
        <f t="shared" si="336"/>
        <v>1.5707963267948966</v>
      </c>
      <c r="AJ555" s="98" t="str">
        <f t="shared" si="322"/>
        <v>1+71.2614488283897i</v>
      </c>
      <c r="AK555" s="98">
        <f t="shared" si="337"/>
        <v>71.268464899429432</v>
      </c>
      <c r="AL555" s="98">
        <f t="shared" si="338"/>
        <v>1.5567644149538973</v>
      </c>
      <c r="AM555" s="98" t="str">
        <f t="shared" si="323"/>
        <v>1+181464.04028473i</v>
      </c>
      <c r="AN555" s="98">
        <f t="shared" si="339"/>
        <v>181464.04028748538</v>
      </c>
      <c r="AO555" s="98">
        <f t="shared" si="340"/>
        <v>1.5707908160612085</v>
      </c>
      <c r="AP555" s="168" t="str">
        <f t="shared" si="341"/>
        <v>-0.0051626177841262+0.36804018192837i</v>
      </c>
      <c r="AQ555" s="98">
        <f t="shared" si="342"/>
        <v>-8.6812408071479847</v>
      </c>
      <c r="AR555" s="169">
        <f t="shared" si="343"/>
        <v>90.803653585206547</v>
      </c>
      <c r="AS555" s="168" t="str">
        <f t="shared" si="344"/>
        <v>-3.11943644580163E-07+6.10755359083642E-08i</v>
      </c>
      <c r="AT555" s="190">
        <f t="shared" si="345"/>
        <v>-129.95510709351487</v>
      </c>
      <c r="AU555" s="169">
        <f t="shared" si="346"/>
        <v>168.92217603770195</v>
      </c>
      <c r="AV555" s="225"/>
      <c r="AX555">
        <f t="shared" si="347"/>
        <v>0</v>
      </c>
      <c r="AY555">
        <f t="shared" si="348"/>
        <v>0</v>
      </c>
    </row>
    <row r="556" spans="14:51" x14ac:dyDescent="0.2">
      <c r="N556" s="170">
        <v>38</v>
      </c>
      <c r="O556" s="199">
        <f t="shared" si="314"/>
        <v>2398832.9190194933</v>
      </c>
      <c r="P556" s="189" t="str">
        <f t="shared" si="315"/>
        <v>771.276595744681</v>
      </c>
      <c r="Q556" s="160" t="str">
        <f t="shared" si="316"/>
        <v>1+15373757.9861852i</v>
      </c>
      <c r="R556" s="160">
        <f t="shared" si="324"/>
        <v>15373757.98618523</v>
      </c>
      <c r="S556" s="160">
        <f t="shared" si="325"/>
        <v>1.5707962617489917</v>
      </c>
      <c r="T556" s="160" t="str">
        <f t="shared" si="317"/>
        <v>1+3.61735482027888i</v>
      </c>
      <c r="U556" s="160">
        <f t="shared" si="326"/>
        <v>3.7530328929806691</v>
      </c>
      <c r="V556" s="160">
        <f t="shared" si="327"/>
        <v>1.301087118777505</v>
      </c>
      <c r="W556" s="98" t="str">
        <f t="shared" si="318"/>
        <v>1-10.2491719907901i</v>
      </c>
      <c r="X556" s="160">
        <f t="shared" si="328"/>
        <v>10.297840865773578</v>
      </c>
      <c r="Y556" s="160">
        <f t="shared" si="329"/>
        <v>-1.4735353211140105</v>
      </c>
      <c r="Z556" s="98" t="str">
        <f t="shared" si="319"/>
        <v>-2300.75974934864-70.1741557414769i</v>
      </c>
      <c r="AA556" s="160">
        <f t="shared" si="330"/>
        <v>2301.829671447661</v>
      </c>
      <c r="AB556" s="160">
        <f t="shared" si="331"/>
        <v>-3.1111016788353871</v>
      </c>
      <c r="AC556" s="171" t="str">
        <f t="shared" si="332"/>
        <v>1.69772017948939E-07+8.25050162600823E-07i</v>
      </c>
      <c r="AD556" s="190">
        <f t="shared" si="333"/>
        <v>-121.49029048126393</v>
      </c>
      <c r="AE556" s="169">
        <f t="shared" si="334"/>
        <v>78.372445381688593</v>
      </c>
      <c r="AF556" s="98" t="str">
        <f t="shared" si="320"/>
        <v>-0.0000119284294234592</v>
      </c>
      <c r="AG556" s="98" t="str">
        <f t="shared" si="321"/>
        <v>0.0844381048923597i</v>
      </c>
      <c r="AH556" s="98">
        <f t="shared" si="335"/>
        <v>8.44381048923597E-2</v>
      </c>
      <c r="AI556" s="98">
        <f t="shared" si="336"/>
        <v>1.5707963267948966</v>
      </c>
      <c r="AJ556" s="98" t="str">
        <f t="shared" si="322"/>
        <v>1+72.9213412058645i</v>
      </c>
      <c r="AK556" s="98">
        <f t="shared" si="337"/>
        <v>72.928197586818996</v>
      </c>
      <c r="AL556" s="98">
        <f t="shared" si="338"/>
        <v>1.5570837797586419</v>
      </c>
      <c r="AM556" s="98" t="str">
        <f t="shared" si="323"/>
        <v>1+185690.880774316i</v>
      </c>
      <c r="AN556" s="98">
        <f t="shared" si="339"/>
        <v>185690.88077700863</v>
      </c>
      <c r="AO556" s="98">
        <f t="shared" si="340"/>
        <v>1.5707909415008217</v>
      </c>
      <c r="AP556" s="168" t="str">
        <f t="shared" si="341"/>
        <v>-0.00493030539639442+0.359665750381978i</v>
      </c>
      <c r="AQ556" s="98">
        <f t="shared" si="342"/>
        <v>-8.8812023235720581</v>
      </c>
      <c r="AR556" s="169">
        <f t="shared" si="343"/>
        <v>90.785362516930093</v>
      </c>
      <c r="AS556" s="168" t="str">
        <f t="shared" si="344"/>
        <v>-2.97579313730848E-07+5.69934309605009E-08i</v>
      </c>
      <c r="AT556" s="190">
        <f t="shared" si="345"/>
        <v>-130.37149280483601</v>
      </c>
      <c r="AU556" s="169">
        <f t="shared" si="346"/>
        <v>169.15780789861867</v>
      </c>
      <c r="AV556" s="225"/>
      <c r="AX556">
        <f t="shared" si="347"/>
        <v>0</v>
      </c>
      <c r="AY556">
        <f t="shared" si="348"/>
        <v>0</v>
      </c>
    </row>
    <row r="557" spans="14:51" x14ac:dyDescent="0.2">
      <c r="N557" s="170">
        <v>39</v>
      </c>
      <c r="O557" s="199">
        <f t="shared" si="314"/>
        <v>2454708.915685033</v>
      </c>
      <c r="P557" s="189" t="str">
        <f t="shared" si="315"/>
        <v>771.276595744681</v>
      </c>
      <c r="Q557" s="160" t="str">
        <f t="shared" si="316"/>
        <v>1+15731858.8122836i</v>
      </c>
      <c r="R557" s="160">
        <f t="shared" si="324"/>
        <v>15731858.812283631</v>
      </c>
      <c r="S557" s="160">
        <f t="shared" si="325"/>
        <v>1.5707962632296173</v>
      </c>
      <c r="T557" s="160" t="str">
        <f t="shared" si="317"/>
        <v>1+3.70161383818437i</v>
      </c>
      <c r="U557" s="160">
        <f t="shared" si="326"/>
        <v>3.834311542772447</v>
      </c>
      <c r="V557" s="160">
        <f t="shared" si="327"/>
        <v>1.3069424181760247</v>
      </c>
      <c r="W557" s="98" t="str">
        <f t="shared" si="318"/>
        <v>1-10.4879058748557i</v>
      </c>
      <c r="X557" s="160">
        <f t="shared" si="328"/>
        <v>10.535471970435529</v>
      </c>
      <c r="Y557" s="160">
        <f t="shared" si="329"/>
        <v>-1.4757357849831132</v>
      </c>
      <c r="Z557" s="98" t="str">
        <f t="shared" si="319"/>
        <v>-2409.23834429743-71.8087218094714i</v>
      </c>
      <c r="AA557" s="160">
        <f t="shared" si="330"/>
        <v>2410.3082566677926</v>
      </c>
      <c r="AB557" s="160">
        <f t="shared" si="331"/>
        <v>-3.1117959051606752</v>
      </c>
      <c r="AC557" s="171" t="str">
        <f t="shared" si="332"/>
        <v>1.62105602918124E-07+8.05523422693245E-07i</v>
      </c>
      <c r="AD557" s="190">
        <f t="shared" si="333"/>
        <v>-121.70602165307605</v>
      </c>
      <c r="AE557" s="169">
        <f t="shared" si="334"/>
        <v>78.621628185970948</v>
      </c>
      <c r="AF557" s="98" t="str">
        <f t="shared" si="320"/>
        <v>-0.0000119284294234592</v>
      </c>
      <c r="AG557" s="98" t="str">
        <f t="shared" si="321"/>
        <v>0.086404921017819i</v>
      </c>
      <c r="AH557" s="98">
        <f t="shared" si="335"/>
        <v>8.6404921017819006E-2</v>
      </c>
      <c r="AI557" s="98">
        <f t="shared" si="336"/>
        <v>1.5707963267948966</v>
      </c>
      <c r="AJ557" s="98" t="str">
        <f t="shared" si="322"/>
        <v>1+74.6198974436748i</v>
      </c>
      <c r="AK557" s="98">
        <f t="shared" si="337"/>
        <v>74.626597768520469</v>
      </c>
      <c r="AL557" s="98">
        <f t="shared" si="338"/>
        <v>1.5573958776359802</v>
      </c>
      <c r="AM557" s="98" t="str">
        <f t="shared" si="323"/>
        <v>1+190016.177026798i</v>
      </c>
      <c r="AN557" s="98">
        <f t="shared" si="339"/>
        <v>190016.17702942935</v>
      </c>
      <c r="AO557" s="98">
        <f t="shared" si="340"/>
        <v>1.5707910640850808</v>
      </c>
      <c r="AP557" s="168" t="str">
        <f t="shared" si="341"/>
        <v>-0.00470844494508138+0.351481731583937i</v>
      </c>
      <c r="AQ557" s="98">
        <f t="shared" si="342"/>
        <v>-9.0811655717241084</v>
      </c>
      <c r="AR557" s="169">
        <f t="shared" si="343"/>
        <v>90.767487649324295</v>
      </c>
      <c r="AS557" s="168" t="str">
        <f t="shared" si="344"/>
        <v>-2.83890032746271E-07+5.31843953253957E-08i</v>
      </c>
      <c r="AT557" s="190">
        <f t="shared" si="345"/>
        <v>-130.78718722480014</v>
      </c>
      <c r="AU557" s="169">
        <f t="shared" si="346"/>
        <v>169.38911583529526</v>
      </c>
      <c r="AV557" s="225"/>
      <c r="AX557">
        <f t="shared" si="347"/>
        <v>0</v>
      </c>
      <c r="AY557">
        <f t="shared" si="348"/>
        <v>0</v>
      </c>
    </row>
    <row r="558" spans="14:51" x14ac:dyDescent="0.2">
      <c r="N558" s="170">
        <v>40</v>
      </c>
      <c r="O558" s="199">
        <f t="shared" si="314"/>
        <v>2511886.431509587</v>
      </c>
      <c r="P558" s="189" t="str">
        <f t="shared" si="315"/>
        <v>771.276595744681</v>
      </c>
      <c r="Q558" s="160" t="str">
        <f t="shared" si="316"/>
        <v>1+16098300.8781601i</v>
      </c>
      <c r="R558" s="160">
        <f t="shared" si="324"/>
        <v>16098300.878160128</v>
      </c>
      <c r="S558" s="160">
        <f t="shared" si="325"/>
        <v>1.5707962646765397</v>
      </c>
      <c r="T558" s="160" t="str">
        <f t="shared" si="317"/>
        <v>1+3.78783550074355i</v>
      </c>
      <c r="U558" s="160">
        <f t="shared" si="326"/>
        <v>3.9176137865661467</v>
      </c>
      <c r="V558" s="160">
        <f t="shared" si="327"/>
        <v>1.3126823900100426</v>
      </c>
      <c r="W558" s="98" t="str">
        <f t="shared" si="318"/>
        <v>1-10.73220058544i</v>
      </c>
      <c r="X558" s="160">
        <f t="shared" si="328"/>
        <v>10.778688668206287</v>
      </c>
      <c r="Y558" s="160">
        <f t="shared" si="329"/>
        <v>-1.4778870527736199</v>
      </c>
      <c r="Z558" s="98" t="str">
        <f t="shared" si="319"/>
        <v>-2522.82937792079-73.4813618122705i</v>
      </c>
      <c r="AA558" s="160">
        <f t="shared" si="330"/>
        <v>2523.899281000331</v>
      </c>
      <c r="AB558" s="160">
        <f t="shared" si="331"/>
        <v>-3.1124743178233665</v>
      </c>
      <c r="AC558" s="171" t="str">
        <f t="shared" si="332"/>
        <v>1.5478646945934E-07+7.86490939831078E-07i</v>
      </c>
      <c r="AD558" s="190">
        <f t="shared" si="333"/>
        <v>-121.92108719554838</v>
      </c>
      <c r="AE558" s="169">
        <f t="shared" si="334"/>
        <v>78.866115881023575</v>
      </c>
      <c r="AF558" s="98" t="str">
        <f t="shared" si="320"/>
        <v>-0.0000119284294234592</v>
      </c>
      <c r="AG558" s="98" t="str">
        <f t="shared" si="321"/>
        <v>0.0884175501761063i</v>
      </c>
      <c r="AH558" s="98">
        <f t="shared" si="335"/>
        <v>8.8417550176106294E-2</v>
      </c>
      <c r="AI558" s="98">
        <f t="shared" si="336"/>
        <v>1.5707963267948966</v>
      </c>
      <c r="AJ558" s="98" t="str">
        <f t="shared" si="322"/>
        <v>1+76.3580181388213i</v>
      </c>
      <c r="AK558" s="98">
        <f t="shared" si="337"/>
        <v>76.364565958882807</v>
      </c>
      <c r="AL558" s="98">
        <f t="shared" si="338"/>
        <v>1.5577008738209994</v>
      </c>
      <c r="AM558" s="98" t="str">
        <f t="shared" si="323"/>
        <v>1+194442.222371502i</v>
      </c>
      <c r="AN558" s="98">
        <f t="shared" si="339"/>
        <v>194442.22237407343</v>
      </c>
      <c r="AO558" s="98">
        <f t="shared" si="340"/>
        <v>1.5707911838789816</v>
      </c>
      <c r="AP558" s="168" t="str">
        <f t="shared" si="341"/>
        <v>-0.00449656635364523+0.343483805394573i</v>
      </c>
      <c r="AQ558" s="98">
        <f t="shared" si="342"/>
        <v>-9.2811304736914089</v>
      </c>
      <c r="AR558" s="169">
        <f t="shared" si="343"/>
        <v>90.75001951884002</v>
      </c>
      <c r="AS558" s="168" t="str">
        <f t="shared" si="344"/>
        <v>-2.70842908552103E-07+4.96301368559937E-08i</v>
      </c>
      <c r="AT558" s="190">
        <f t="shared" si="345"/>
        <v>-131.20221766923979</v>
      </c>
      <c r="AU558" s="169">
        <f t="shared" si="346"/>
        <v>169.61613539986359</v>
      </c>
      <c r="AV558" s="225"/>
      <c r="AX558">
        <f t="shared" si="347"/>
        <v>0</v>
      </c>
      <c r="AY558">
        <f t="shared" si="348"/>
        <v>0</v>
      </c>
    </row>
    <row r="559" spans="14:51" x14ac:dyDescent="0.2">
      <c r="N559" s="170">
        <v>41</v>
      </c>
      <c r="O559" s="199">
        <f t="shared" si="314"/>
        <v>2570395.782768866</v>
      </c>
      <c r="P559" s="189" t="str">
        <f t="shared" si="315"/>
        <v>771.276595744681</v>
      </c>
      <c r="Q559" s="160" t="str">
        <f t="shared" si="316"/>
        <v>1+16473278.4762483i</v>
      </c>
      <c r="R559" s="160">
        <f t="shared" si="324"/>
        <v>16473278.47624833</v>
      </c>
      <c r="S559" s="160">
        <f t="shared" si="325"/>
        <v>1.5707962660905261</v>
      </c>
      <c r="T559" s="160" t="str">
        <f t="shared" si="317"/>
        <v>1+3.87606552382313i</v>
      </c>
      <c r="U559" s="160">
        <f t="shared" si="326"/>
        <v>4.0029843798059312</v>
      </c>
      <c r="V559" s="160">
        <f t="shared" si="327"/>
        <v>1.3183085641373187</v>
      </c>
      <c r="W559" s="98" t="str">
        <f t="shared" si="318"/>
        <v>1-10.9821856508322i</v>
      </c>
      <c r="X559" s="160">
        <f t="shared" si="328"/>
        <v>11.027619945815356</v>
      </c>
      <c r="Y559" s="160">
        <f t="shared" si="329"/>
        <v>-1.4799901854245443</v>
      </c>
      <c r="Z559" s="98" t="str">
        <f t="shared" si="319"/>
        <v>-2641.77379203039-75.1929626057429i</v>
      </c>
      <c r="AA559" s="160">
        <f t="shared" si="330"/>
        <v>2642.8436862372423</v>
      </c>
      <c r="AB559" s="160">
        <f t="shared" si="331"/>
        <v>-3.1131372775295509</v>
      </c>
      <c r="AC559" s="171" t="str">
        <f t="shared" si="332"/>
        <v>1.47798790608671E-07+7.67938145325192E-07i</v>
      </c>
      <c r="AD559" s="190">
        <f t="shared" si="333"/>
        <v>-122.13551357143074</v>
      </c>
      <c r="AE559" s="169">
        <f t="shared" si="334"/>
        <v>79.105956000804198</v>
      </c>
      <c r="AF559" s="98" t="str">
        <f t="shared" si="320"/>
        <v>-0.0000119284294234592</v>
      </c>
      <c r="AG559" s="98" t="str">
        <f t="shared" si="321"/>
        <v>0.0904770594898414i</v>
      </c>
      <c r="AH559" s="98">
        <f t="shared" si="335"/>
        <v>9.0477059489841402E-2</v>
      </c>
      <c r="AI559" s="98">
        <f t="shared" si="336"/>
        <v>1.5707963267948966</v>
      </c>
      <c r="AJ559" s="98" t="str">
        <f t="shared" si="322"/>
        <v>1+78.1366248659023i</v>
      </c>
      <c r="AK559" s="98">
        <f t="shared" si="337"/>
        <v>78.143023651729422</v>
      </c>
      <c r="AL559" s="98">
        <f t="shared" si="338"/>
        <v>1.5579989297996109</v>
      </c>
      <c r="AM559" s="98" t="str">
        <f t="shared" si="323"/>
        <v>1+198971.363556254i</v>
      </c>
      <c r="AN559" s="98">
        <f t="shared" si="339"/>
        <v>198971.3635587669</v>
      </c>
      <c r="AO559" s="98">
        <f t="shared" si="340"/>
        <v>1.5707913009460401</v>
      </c>
      <c r="AP559" s="168" t="str">
        <f t="shared" si="341"/>
        <v>-0.00429422067273721+0.335667749066503i</v>
      </c>
      <c r="AQ559" s="98">
        <f t="shared" si="342"/>
        <v>-9.4810969550655564</v>
      </c>
      <c r="AR559" s="169">
        <f t="shared" si="343"/>
        <v>90.732948876655328</v>
      </c>
      <c r="AS559" s="168" t="str">
        <f t="shared" si="344"/>
        <v>-2.5840674928565E-07+4.63135914993251E-08i</v>
      </c>
      <c r="AT559" s="190">
        <f t="shared" si="345"/>
        <v>-131.61661052649629</v>
      </c>
      <c r="AU559" s="169">
        <f t="shared" si="346"/>
        <v>169.83890487745953</v>
      </c>
      <c r="AV559" s="225"/>
      <c r="AX559">
        <f t="shared" si="347"/>
        <v>0</v>
      </c>
      <c r="AY559">
        <f t="shared" si="348"/>
        <v>0</v>
      </c>
    </row>
    <row r="560" spans="14:51" ht="16" thickBot="1" x14ac:dyDescent="0.25">
      <c r="N560" s="170">
        <v>42</v>
      </c>
      <c r="O560" s="199">
        <f t="shared" si="314"/>
        <v>2630267.9918953842</v>
      </c>
      <c r="P560" s="189" t="str">
        <f t="shared" si="315"/>
        <v>771.276595744681</v>
      </c>
      <c r="Q560" s="160" t="str">
        <f t="shared" si="316"/>
        <v>1+16856990.4246342i</v>
      </c>
      <c r="R560" s="160">
        <f t="shared" si="324"/>
        <v>16856990.424634229</v>
      </c>
      <c r="S560" s="160">
        <f t="shared" si="325"/>
        <v>1.5707962674723264</v>
      </c>
      <c r="T560" s="160" t="str">
        <f t="shared" si="317"/>
        <v>1+3.96635068814923i</v>
      </c>
      <c r="U560" s="160">
        <f t="shared" si="326"/>
        <v>4.0904691395220025</v>
      </c>
      <c r="V560" s="160">
        <f t="shared" si="327"/>
        <v>1.3238224983170908</v>
      </c>
      <c r="W560" s="98" t="str">
        <f t="shared" si="318"/>
        <v>1-11.2379936164228i</v>
      </c>
      <c r="X560" s="160">
        <f t="shared" si="328"/>
        <v>11.282397817962263</v>
      </c>
      <c r="Y560" s="160">
        <f t="shared" si="329"/>
        <v>-1.4820462235834932</v>
      </c>
      <c r="Z560" s="98" t="str">
        <f t="shared" si="319"/>
        <v>-2766.32388367575-76.9444317032854i</v>
      </c>
      <c r="AA560" s="160">
        <f t="shared" si="330"/>
        <v>2767.3937694092301</v>
      </c>
      <c r="AB560" s="160">
        <f t="shared" si="331"/>
        <v>-3.1137851367250988</v>
      </c>
      <c r="AC560" s="196" t="str">
        <f t="shared" si="332"/>
        <v>1.41127469038071E-07+7.49851023118675E-07i</v>
      </c>
      <c r="AD560" s="197">
        <f t="shared" si="333"/>
        <v>-122.34932633162353</v>
      </c>
      <c r="AE560" s="198">
        <f t="shared" si="334"/>
        <v>79.341198367244743</v>
      </c>
      <c r="AF560" s="98" t="str">
        <f t="shared" si="320"/>
        <v>-0.0000119284294234592</v>
      </c>
      <c r="AG560" s="98" t="str">
        <f t="shared" si="321"/>
        <v>0.0925845409381236i</v>
      </c>
      <c r="AH560" s="98">
        <f t="shared" si="335"/>
        <v>9.25845409381236E-2</v>
      </c>
      <c r="AI560" s="98">
        <f t="shared" si="336"/>
        <v>1.5707963267948966</v>
      </c>
      <c r="AJ560" s="98" t="str">
        <f t="shared" si="322"/>
        <v>1+79.9566606657479i</v>
      </c>
      <c r="AK560" s="98">
        <f t="shared" si="337"/>
        <v>79.962913808949949</v>
      </c>
      <c r="AL560" s="98">
        <f t="shared" si="338"/>
        <v>1.5582902033930901</v>
      </c>
      <c r="AM560" s="98" t="str">
        <f t="shared" si="323"/>
        <v>1+203606.00199166i</v>
      </c>
      <c r="AN560" s="98">
        <f t="shared" si="339"/>
        <v>203606.00199411571</v>
      </c>
      <c r="AO560" s="98">
        <f t="shared" si="340"/>
        <v>1.5707914153483271</v>
      </c>
      <c r="AP560" s="191" t="str">
        <f t="shared" si="341"/>
        <v>-0.00410097913193605+0.328029435090797i</v>
      </c>
      <c r="AQ560" s="195">
        <f t="shared" si="342"/>
        <v>-9.6810649447849713</v>
      </c>
      <c r="AR560" s="198">
        <f t="shared" si="343"/>
        <v>90.716266683833567</v>
      </c>
      <c r="AS560" s="191" t="str">
        <f t="shared" si="344"/>
        <v>-2.46551968321343E-07+4.32188405464818E-08i</v>
      </c>
      <c r="AT560" s="197">
        <f t="shared" si="345"/>
        <v>-132.03039127640852</v>
      </c>
      <c r="AU560" s="198">
        <f t="shared" si="346"/>
        <v>170.05746505107828</v>
      </c>
      <c r="AV560" s="225"/>
    </row>
    <row r="561" spans="14:30" x14ac:dyDescent="0.2">
      <c r="N561" s="170"/>
      <c r="P561" s="189"/>
      <c r="Q561" s="160"/>
      <c r="R561" s="160"/>
      <c r="S561" s="160"/>
      <c r="T561" s="160"/>
      <c r="U561" s="160"/>
      <c r="V561" s="160"/>
      <c r="X561" s="160"/>
      <c r="Y561" s="160"/>
      <c r="AA561" s="160"/>
      <c r="AB561" s="160"/>
      <c r="AC561" s="160"/>
      <c r="AD561" s="190"/>
    </row>
    <row r="562" spans="14:30" x14ac:dyDescent="0.2">
      <c r="N562" s="170"/>
      <c r="P562" s="189"/>
      <c r="Q562" s="160"/>
      <c r="R562" s="160"/>
      <c r="S562" s="160"/>
      <c r="T562" s="160"/>
      <c r="U562" s="160"/>
      <c r="V562" s="160"/>
      <c r="X562" s="160"/>
      <c r="Y562" s="160"/>
      <c r="AA562" s="160"/>
      <c r="AB562" s="160"/>
      <c r="AC562" s="160"/>
      <c r="AD562" s="190"/>
    </row>
    <row r="563" spans="14:30" x14ac:dyDescent="0.2">
      <c r="N563" s="170"/>
      <c r="P563" s="189"/>
      <c r="Q563" s="160"/>
      <c r="R563" s="160"/>
      <c r="S563" s="160"/>
      <c r="T563" s="160"/>
      <c r="U563" s="160"/>
      <c r="V563" s="160"/>
      <c r="X563" s="160"/>
      <c r="Y563" s="160"/>
      <c r="AA563" s="160"/>
      <c r="AB563" s="160"/>
      <c r="AC563" s="160"/>
      <c r="AD563" s="190"/>
    </row>
    <row r="564" spans="14:30" x14ac:dyDescent="0.2">
      <c r="N564" s="170"/>
      <c r="P564" s="189"/>
      <c r="Q564" s="160"/>
      <c r="R564" s="160"/>
      <c r="S564" s="160"/>
      <c r="T564" s="160"/>
      <c r="U564" s="160"/>
      <c r="V564" s="160"/>
      <c r="X564" s="160"/>
      <c r="Y564" s="160"/>
      <c r="AA564" s="160"/>
      <c r="AB564" s="160"/>
      <c r="AC564" s="160"/>
      <c r="AD564" s="190"/>
    </row>
    <row r="565" spans="14:30" x14ac:dyDescent="0.2">
      <c r="N565" s="170"/>
      <c r="P565" s="189"/>
      <c r="Q565" s="160"/>
      <c r="R565" s="160"/>
      <c r="S565" s="160"/>
      <c r="T565" s="160"/>
      <c r="U565" s="160"/>
      <c r="V565" s="160"/>
      <c r="X565" s="160"/>
      <c r="Y565" s="160"/>
      <c r="AA565" s="160"/>
      <c r="AB565" s="160"/>
      <c r="AC565" s="160"/>
      <c r="AD565" s="190"/>
    </row>
    <row r="566" spans="14:30" x14ac:dyDescent="0.2">
      <c r="N566" s="170"/>
      <c r="P566" s="189"/>
      <c r="Q566" s="160"/>
      <c r="R566" s="160"/>
      <c r="S566" s="160"/>
      <c r="T566" s="160"/>
      <c r="U566" s="160"/>
      <c r="V566" s="160"/>
      <c r="X566" s="160"/>
      <c r="Y566" s="160"/>
      <c r="AA566" s="160"/>
      <c r="AB566" s="160"/>
      <c r="AC566" s="160"/>
      <c r="AD566" s="190"/>
    </row>
    <row r="567" spans="14:30" x14ac:dyDescent="0.2">
      <c r="N567" s="170"/>
      <c r="P567" s="189"/>
      <c r="Q567" s="160"/>
      <c r="R567" s="160"/>
      <c r="S567" s="160"/>
      <c r="T567" s="160"/>
      <c r="U567" s="160"/>
      <c r="V567" s="160"/>
      <c r="X567" s="160"/>
      <c r="Y567" s="160"/>
      <c r="AA567" s="160"/>
      <c r="AB567" s="160"/>
      <c r="AC567" s="160"/>
      <c r="AD567" s="190"/>
    </row>
    <row r="568" spans="14:30" x14ac:dyDescent="0.2">
      <c r="N568" s="170"/>
      <c r="P568" s="189"/>
      <c r="Q568" s="160"/>
      <c r="R568" s="160"/>
      <c r="S568" s="160"/>
      <c r="T568" s="160"/>
      <c r="U568" s="160"/>
      <c r="V568" s="160"/>
      <c r="X568" s="160"/>
      <c r="Y568" s="160"/>
      <c r="AA568" s="160"/>
      <c r="AB568" s="160"/>
      <c r="AC568" s="160"/>
      <c r="AD568" s="190"/>
    </row>
    <row r="569" spans="14:30" x14ac:dyDescent="0.2">
      <c r="N569" s="170"/>
      <c r="P569" s="189"/>
      <c r="Q569" s="160"/>
      <c r="R569" s="160"/>
      <c r="S569" s="160"/>
      <c r="T569" s="160"/>
      <c r="U569" s="160"/>
      <c r="V569" s="160"/>
      <c r="X569" s="160"/>
      <c r="Y569" s="160"/>
      <c r="AA569" s="160"/>
      <c r="AB569" s="160"/>
      <c r="AC569" s="160"/>
      <c r="AD569" s="190"/>
    </row>
    <row r="570" spans="14:30" x14ac:dyDescent="0.2">
      <c r="N570" s="170"/>
      <c r="P570" s="189"/>
      <c r="Q570" s="160"/>
      <c r="R570" s="160"/>
      <c r="S570" s="160"/>
      <c r="T570" s="160"/>
      <c r="U570" s="160"/>
      <c r="V570" s="160"/>
      <c r="X570" s="160"/>
      <c r="Y570" s="160"/>
      <c r="AA570" s="160"/>
      <c r="AB570" s="160"/>
      <c r="AC570" s="160"/>
      <c r="AD570" s="190"/>
    </row>
    <row r="571" spans="14:30" x14ac:dyDescent="0.2">
      <c r="N571" s="170"/>
      <c r="P571" s="189"/>
      <c r="Q571" s="160"/>
      <c r="R571" s="160"/>
      <c r="S571" s="160"/>
      <c r="T571" s="160"/>
      <c r="U571" s="160"/>
      <c r="V571" s="160"/>
      <c r="X571" s="160"/>
      <c r="Y571" s="160"/>
      <c r="AA571" s="160"/>
      <c r="AB571" s="160"/>
      <c r="AC571" s="160"/>
      <c r="AD571" s="190"/>
    </row>
    <row r="572" spans="14:30" x14ac:dyDescent="0.2">
      <c r="N572" s="170"/>
      <c r="P572" s="189"/>
      <c r="Q572" s="160"/>
      <c r="R572" s="160"/>
      <c r="S572" s="160"/>
      <c r="T572" s="160"/>
      <c r="U572" s="160"/>
      <c r="V572" s="160"/>
      <c r="X572" s="160"/>
      <c r="Y572" s="160"/>
      <c r="AA572" s="160"/>
      <c r="AB572" s="160"/>
      <c r="AC572" s="160"/>
      <c r="AD572" s="190"/>
    </row>
    <row r="573" spans="14:30" x14ac:dyDescent="0.2">
      <c r="N573" s="170"/>
      <c r="P573" s="189"/>
      <c r="Q573" s="160"/>
      <c r="R573" s="160"/>
      <c r="S573" s="160"/>
      <c r="T573" s="160"/>
      <c r="U573" s="160"/>
      <c r="V573" s="160"/>
      <c r="X573" s="160"/>
      <c r="Y573" s="160"/>
      <c r="AA573" s="160"/>
      <c r="AB573" s="160"/>
      <c r="AC573" s="160"/>
      <c r="AD573" s="190"/>
    </row>
    <row r="574" spans="14:30" x14ac:dyDescent="0.2">
      <c r="N574" s="170"/>
      <c r="P574" s="189"/>
      <c r="Q574" s="160"/>
      <c r="R574" s="160"/>
      <c r="S574" s="160"/>
      <c r="T574" s="160"/>
      <c r="U574" s="160"/>
      <c r="V574" s="160"/>
      <c r="X574" s="160"/>
      <c r="Y574" s="160"/>
      <c r="AA574" s="160"/>
      <c r="AB574" s="160"/>
      <c r="AC574" s="160"/>
      <c r="AD574" s="190"/>
    </row>
    <row r="575" spans="14:30" x14ac:dyDescent="0.2">
      <c r="N575" s="170"/>
      <c r="P575" s="189"/>
      <c r="Q575" s="160"/>
      <c r="R575" s="160"/>
      <c r="S575" s="160"/>
      <c r="T575" s="160"/>
      <c r="U575" s="160"/>
      <c r="V575" s="160"/>
      <c r="X575" s="160"/>
      <c r="Y575" s="160"/>
      <c r="AA575" s="160"/>
      <c r="AB575" s="160"/>
      <c r="AC575" s="160"/>
      <c r="AD575" s="190"/>
    </row>
    <row r="576" spans="14:30" x14ac:dyDescent="0.2">
      <c r="N576" s="170"/>
      <c r="P576" s="189"/>
      <c r="Q576" s="160"/>
      <c r="R576" s="160"/>
      <c r="S576" s="160"/>
      <c r="T576" s="160"/>
      <c r="U576" s="160"/>
      <c r="V576" s="160"/>
      <c r="X576" s="160"/>
      <c r="Y576" s="160"/>
      <c r="AA576" s="160"/>
      <c r="AB576" s="160"/>
      <c r="AC576" s="160"/>
      <c r="AD576" s="190"/>
    </row>
    <row r="577" spans="14:30" x14ac:dyDescent="0.2">
      <c r="N577" s="170"/>
      <c r="P577" s="189"/>
      <c r="Q577" s="160"/>
      <c r="R577" s="160"/>
      <c r="S577" s="160"/>
      <c r="T577" s="160"/>
      <c r="U577" s="160"/>
      <c r="V577" s="160"/>
      <c r="X577" s="160"/>
      <c r="Y577" s="160"/>
      <c r="AA577" s="160"/>
      <c r="AB577" s="160"/>
      <c r="AC577" s="160"/>
      <c r="AD577" s="190"/>
    </row>
    <row r="578" spans="14:30" x14ac:dyDescent="0.2">
      <c r="N578" s="170"/>
      <c r="P578" s="189"/>
      <c r="Q578" s="160"/>
      <c r="R578" s="160"/>
      <c r="S578" s="160"/>
      <c r="T578" s="160"/>
      <c r="U578" s="160"/>
      <c r="V578" s="160"/>
      <c r="X578" s="160"/>
      <c r="Y578" s="160"/>
      <c r="AA578" s="160"/>
      <c r="AB578" s="160"/>
      <c r="AC578" s="160"/>
      <c r="AD578" s="190"/>
    </row>
    <row r="579" spans="14:30" x14ac:dyDescent="0.2">
      <c r="N579" s="170"/>
      <c r="P579" s="189"/>
      <c r="Q579" s="160"/>
      <c r="R579" s="160"/>
      <c r="S579" s="160"/>
      <c r="T579" s="160"/>
      <c r="U579" s="160"/>
      <c r="V579" s="160"/>
      <c r="X579" s="160"/>
      <c r="Y579" s="160"/>
      <c r="AA579" s="160"/>
      <c r="AB579" s="160"/>
      <c r="AC579" s="160"/>
      <c r="AD579" s="190"/>
    </row>
    <row r="580" spans="14:30" x14ac:dyDescent="0.2">
      <c r="N580" s="170"/>
      <c r="P580" s="189"/>
      <c r="Q580" s="160"/>
      <c r="R580" s="160"/>
      <c r="S580" s="160"/>
      <c r="T580" s="160"/>
      <c r="U580" s="160"/>
      <c r="V580" s="160"/>
      <c r="X580" s="160"/>
      <c r="Y580" s="160"/>
      <c r="AA580" s="160"/>
      <c r="AB580" s="160"/>
      <c r="AC580" s="160"/>
      <c r="AD580" s="190"/>
    </row>
    <row r="581" spans="14:30" x14ac:dyDescent="0.2">
      <c r="N581" s="170"/>
      <c r="P581" s="189"/>
      <c r="Q581" s="160"/>
      <c r="R581" s="160"/>
      <c r="S581" s="160"/>
      <c r="T581" s="160"/>
      <c r="U581" s="160"/>
      <c r="V581" s="160"/>
      <c r="X581" s="160"/>
      <c r="Y581" s="160"/>
      <c r="AA581" s="160"/>
      <c r="AB581" s="160"/>
      <c r="AC581" s="160"/>
      <c r="AD581" s="190"/>
    </row>
    <row r="582" spans="14:30" x14ac:dyDescent="0.2">
      <c r="N582" s="170"/>
      <c r="P582" s="189"/>
      <c r="Q582" s="160"/>
      <c r="R582" s="160"/>
      <c r="S582" s="160"/>
      <c r="T582" s="160"/>
      <c r="U582" s="160"/>
      <c r="V582" s="160"/>
      <c r="X582" s="160"/>
      <c r="Y582" s="160"/>
      <c r="AA582" s="160"/>
      <c r="AB582" s="160"/>
      <c r="AC582" s="160"/>
      <c r="AD582" s="190"/>
    </row>
    <row r="583" spans="14:30" x14ac:dyDescent="0.2">
      <c r="N583" s="170"/>
      <c r="P583" s="189"/>
      <c r="Q583" s="160"/>
      <c r="R583" s="160"/>
      <c r="S583" s="160"/>
      <c r="T583" s="160"/>
      <c r="U583" s="160"/>
      <c r="V583" s="160"/>
      <c r="X583" s="160"/>
      <c r="Y583" s="160"/>
      <c r="AA583" s="160"/>
      <c r="AB583" s="160"/>
      <c r="AC583" s="160"/>
      <c r="AD583" s="190"/>
    </row>
    <row r="584" spans="14:30" x14ac:dyDescent="0.2">
      <c r="N584" s="170"/>
      <c r="P584" s="189"/>
      <c r="Q584" s="160"/>
      <c r="R584" s="160"/>
      <c r="S584" s="160"/>
      <c r="T584" s="160"/>
      <c r="U584" s="160"/>
      <c r="V584" s="160"/>
      <c r="X584" s="160"/>
      <c r="Y584" s="160"/>
      <c r="AA584" s="160"/>
      <c r="AB584" s="160"/>
      <c r="AC584" s="160"/>
      <c r="AD584" s="190"/>
    </row>
    <row r="585" spans="14:30" x14ac:dyDescent="0.2">
      <c r="N585" s="170"/>
      <c r="P585" s="189"/>
      <c r="Q585" s="160"/>
      <c r="R585" s="160"/>
      <c r="S585" s="160"/>
      <c r="T585" s="160"/>
      <c r="U585" s="160"/>
      <c r="V585" s="160"/>
      <c r="X585" s="160"/>
      <c r="Y585" s="160"/>
      <c r="AA585" s="160"/>
      <c r="AB585" s="160"/>
      <c r="AC585" s="160"/>
      <c r="AD585" s="190"/>
    </row>
    <row r="586" spans="14:30" x14ac:dyDescent="0.2">
      <c r="N586" s="170"/>
      <c r="P586" s="189"/>
      <c r="Q586" s="160"/>
      <c r="R586" s="160"/>
      <c r="S586" s="160"/>
      <c r="T586" s="160"/>
      <c r="U586" s="160"/>
      <c r="V586" s="160"/>
      <c r="X586" s="160"/>
      <c r="Y586" s="160"/>
      <c r="AA586" s="160"/>
      <c r="AB586" s="160"/>
      <c r="AC586" s="160"/>
      <c r="AD586" s="190"/>
    </row>
    <row r="587" spans="14:30" x14ac:dyDescent="0.2">
      <c r="N587" s="170"/>
      <c r="P587" s="189"/>
      <c r="Q587" s="160"/>
      <c r="R587" s="160"/>
      <c r="S587" s="160"/>
      <c r="T587" s="160"/>
      <c r="U587" s="160"/>
      <c r="V587" s="160"/>
      <c r="X587" s="160"/>
      <c r="Y587" s="160"/>
      <c r="AA587" s="160"/>
      <c r="AB587" s="160"/>
      <c r="AC587" s="160"/>
      <c r="AD587" s="190"/>
    </row>
    <row r="588" spans="14:30" x14ac:dyDescent="0.2">
      <c r="N588" s="170"/>
      <c r="P588" s="189"/>
      <c r="Q588" s="160"/>
      <c r="R588" s="160"/>
      <c r="S588" s="160"/>
      <c r="T588" s="160"/>
      <c r="U588" s="160"/>
      <c r="V588" s="160"/>
      <c r="X588" s="160"/>
      <c r="Y588" s="160"/>
      <c r="AA588" s="160"/>
      <c r="AB588" s="160"/>
      <c r="AC588" s="160"/>
      <c r="AD588" s="190"/>
    </row>
    <row r="589" spans="14:30" x14ac:dyDescent="0.2">
      <c r="N589" s="170"/>
      <c r="P589" s="189"/>
      <c r="Q589" s="160"/>
      <c r="R589" s="160"/>
      <c r="S589" s="160"/>
      <c r="T589" s="160"/>
      <c r="U589" s="160"/>
      <c r="V589" s="160"/>
      <c r="X589" s="160"/>
      <c r="Y589" s="160"/>
      <c r="AA589" s="160"/>
      <c r="AB589" s="160"/>
      <c r="AC589" s="160"/>
      <c r="AD589" s="190"/>
    </row>
    <row r="590" spans="14:30" x14ac:dyDescent="0.2">
      <c r="N590" s="170"/>
      <c r="P590" s="189"/>
      <c r="Q590" s="160"/>
      <c r="R590" s="160"/>
      <c r="S590" s="160"/>
      <c r="T590" s="160"/>
      <c r="U590" s="160"/>
      <c r="V590" s="160"/>
      <c r="X590" s="160"/>
      <c r="Y590" s="160"/>
      <c r="AA590" s="160"/>
      <c r="AB590" s="160"/>
      <c r="AC590" s="160"/>
      <c r="AD590" s="190"/>
    </row>
    <row r="591" spans="14:30" x14ac:dyDescent="0.2">
      <c r="N591" s="170"/>
      <c r="P591" s="189"/>
      <c r="Q591" s="160"/>
      <c r="R591" s="160"/>
      <c r="S591" s="160"/>
      <c r="T591" s="160"/>
      <c r="U591" s="160"/>
      <c r="V591" s="160"/>
      <c r="X591" s="160"/>
      <c r="Y591" s="160"/>
      <c r="AA591" s="160"/>
      <c r="AB591" s="160"/>
      <c r="AC591" s="160"/>
      <c r="AD591" s="190"/>
    </row>
    <row r="592" spans="14:30" x14ac:dyDescent="0.2">
      <c r="N592" s="170"/>
      <c r="P592" s="189"/>
      <c r="Q592" s="160"/>
      <c r="R592" s="160"/>
      <c r="S592" s="160"/>
      <c r="T592" s="160"/>
      <c r="U592" s="160"/>
      <c r="V592" s="160"/>
      <c r="X592" s="160"/>
      <c r="Y592" s="160"/>
      <c r="AA592" s="160"/>
      <c r="AB592" s="160"/>
      <c r="AC592" s="160"/>
      <c r="AD592" s="190"/>
    </row>
    <row r="593" spans="14:30" x14ac:dyDescent="0.2">
      <c r="N593" s="170"/>
      <c r="P593" s="189"/>
      <c r="Q593" s="160"/>
      <c r="R593" s="160"/>
      <c r="S593" s="160"/>
      <c r="T593" s="160"/>
      <c r="U593" s="160"/>
      <c r="V593" s="160"/>
      <c r="X593" s="160"/>
      <c r="Y593" s="160"/>
      <c r="AA593" s="160"/>
      <c r="AB593" s="160"/>
      <c r="AC593" s="160"/>
      <c r="AD593" s="190"/>
    </row>
    <row r="594" spans="14:30" x14ac:dyDescent="0.2">
      <c r="N594" s="170"/>
      <c r="P594" s="189"/>
      <c r="Q594" s="160"/>
      <c r="R594" s="160"/>
      <c r="S594" s="160"/>
      <c r="T594" s="160"/>
      <c r="U594" s="160"/>
      <c r="V594" s="160"/>
      <c r="X594" s="160"/>
      <c r="Y594" s="160"/>
      <c r="AA594" s="160"/>
      <c r="AB594" s="160"/>
      <c r="AC594" s="160"/>
      <c r="AD594" s="190"/>
    </row>
    <row r="595" spans="14:30" x14ac:dyDescent="0.2">
      <c r="N595" s="170"/>
      <c r="P595" s="189"/>
      <c r="Q595" s="160"/>
      <c r="R595" s="160"/>
      <c r="S595" s="160"/>
      <c r="T595" s="160"/>
      <c r="U595" s="160"/>
      <c r="V595" s="160"/>
      <c r="X595" s="160"/>
      <c r="Y595" s="160"/>
      <c r="AA595" s="160"/>
      <c r="AB595" s="160"/>
      <c r="AC595" s="160"/>
      <c r="AD595" s="190"/>
    </row>
    <row r="596" spans="14:30" x14ac:dyDescent="0.2">
      <c r="N596" s="170"/>
      <c r="P596" s="189"/>
      <c r="Q596" s="160"/>
      <c r="R596" s="160"/>
      <c r="S596" s="160"/>
      <c r="T596" s="160"/>
      <c r="U596" s="160"/>
      <c r="V596" s="160"/>
      <c r="X596" s="160"/>
      <c r="Y596" s="160"/>
      <c r="AA596" s="160"/>
      <c r="AB596" s="160"/>
      <c r="AC596" s="160"/>
      <c r="AD596" s="190"/>
    </row>
    <row r="597" spans="14:30" x14ac:dyDescent="0.2">
      <c r="N597" s="170"/>
      <c r="P597" s="189"/>
      <c r="Q597" s="160"/>
      <c r="R597" s="160"/>
      <c r="S597" s="160"/>
      <c r="T597" s="160"/>
      <c r="U597" s="160"/>
      <c r="V597" s="160"/>
      <c r="X597" s="160"/>
      <c r="Y597" s="160"/>
      <c r="AA597" s="160"/>
      <c r="AB597" s="160"/>
      <c r="AC597" s="160"/>
      <c r="AD597" s="190"/>
    </row>
    <row r="598" spans="14:30" x14ac:dyDescent="0.2">
      <c r="N598" s="170"/>
      <c r="P598" s="189"/>
      <c r="Q598" s="160"/>
      <c r="R598" s="160"/>
      <c r="S598" s="160"/>
      <c r="T598" s="160"/>
      <c r="U598" s="160"/>
      <c r="V598" s="160"/>
      <c r="X598" s="160"/>
      <c r="Y598" s="160"/>
      <c r="AA598" s="160"/>
      <c r="AB598" s="160"/>
      <c r="AC598" s="160"/>
      <c r="AD598" s="190"/>
    </row>
    <row r="599" spans="14:30" x14ac:dyDescent="0.2">
      <c r="N599" s="170"/>
      <c r="P599" s="189"/>
      <c r="Q599" s="160"/>
      <c r="R599" s="160"/>
      <c r="S599" s="160"/>
      <c r="T599" s="160"/>
      <c r="U599" s="160"/>
      <c r="V599" s="160"/>
      <c r="X599" s="160"/>
      <c r="Y599" s="160"/>
      <c r="AA599" s="160"/>
      <c r="AB599" s="160"/>
      <c r="AC599" s="160"/>
      <c r="AD599" s="190"/>
    </row>
    <row r="600" spans="14:30" x14ac:dyDescent="0.2">
      <c r="N600" s="170"/>
      <c r="P600" s="189"/>
      <c r="Q600" s="160"/>
      <c r="R600" s="160"/>
      <c r="S600" s="160"/>
      <c r="T600" s="160"/>
      <c r="U600" s="160"/>
      <c r="V600" s="160"/>
      <c r="X600" s="160"/>
      <c r="Y600" s="160"/>
      <c r="AA600" s="160"/>
      <c r="AB600" s="160"/>
      <c r="AC600" s="160"/>
      <c r="AD600" s="190"/>
    </row>
    <row r="601" spans="14:30" x14ac:dyDescent="0.2">
      <c r="N601" s="170"/>
      <c r="P601" s="189"/>
      <c r="Q601" s="160"/>
      <c r="R601" s="160"/>
      <c r="S601" s="160"/>
      <c r="T601" s="160"/>
      <c r="U601" s="160"/>
      <c r="V601" s="160"/>
      <c r="X601" s="160"/>
      <c r="Y601" s="160"/>
      <c r="AA601" s="160"/>
      <c r="AB601" s="160"/>
      <c r="AC601" s="160"/>
      <c r="AD601" s="190"/>
    </row>
    <row r="602" spans="14:30" x14ac:dyDescent="0.2">
      <c r="N602" s="170"/>
      <c r="P602" s="189"/>
      <c r="Q602" s="160"/>
      <c r="R602" s="160"/>
      <c r="S602" s="160"/>
      <c r="T602" s="160"/>
      <c r="U602" s="160"/>
      <c r="V602" s="160"/>
      <c r="X602" s="160"/>
      <c r="Y602" s="160"/>
      <c r="AA602" s="160"/>
      <c r="AB602" s="160"/>
      <c r="AC602" s="160"/>
      <c r="AD602" s="190"/>
    </row>
    <row r="603" spans="14:30" x14ac:dyDescent="0.2">
      <c r="N603" s="170"/>
      <c r="P603" s="189"/>
      <c r="Q603" s="160"/>
      <c r="R603" s="160"/>
      <c r="S603" s="160"/>
      <c r="T603" s="160"/>
      <c r="U603" s="160"/>
      <c r="V603" s="160"/>
      <c r="X603" s="160"/>
      <c r="Y603" s="160"/>
      <c r="AA603" s="160"/>
      <c r="AB603" s="160"/>
      <c r="AC603" s="160"/>
      <c r="AD603" s="190"/>
    </row>
    <row r="604" spans="14:30" x14ac:dyDescent="0.2">
      <c r="N604" s="170"/>
      <c r="P604" s="189"/>
      <c r="Q604" s="160"/>
      <c r="R604" s="160"/>
      <c r="S604" s="160"/>
      <c r="T604" s="160"/>
      <c r="U604" s="160"/>
      <c r="V604" s="160"/>
      <c r="X604" s="160"/>
      <c r="Y604" s="160"/>
      <c r="AA604" s="160"/>
      <c r="AB604" s="160"/>
      <c r="AC604" s="160"/>
      <c r="AD604" s="190"/>
    </row>
    <row r="605" spans="14:30" x14ac:dyDescent="0.2">
      <c r="N605" s="170"/>
      <c r="P605" s="189"/>
      <c r="Q605" s="160"/>
      <c r="R605" s="160"/>
      <c r="S605" s="160"/>
      <c r="T605" s="160"/>
      <c r="U605" s="160"/>
      <c r="V605" s="160"/>
      <c r="X605" s="160"/>
      <c r="Y605" s="160"/>
      <c r="AA605" s="160"/>
      <c r="AB605" s="160"/>
      <c r="AC605" s="160"/>
      <c r="AD605" s="190"/>
    </row>
    <row r="606" spans="14:30" x14ac:dyDescent="0.2">
      <c r="N606" s="170"/>
      <c r="P606" s="189"/>
      <c r="Q606" s="160"/>
      <c r="R606" s="160"/>
      <c r="S606" s="160"/>
      <c r="T606" s="160"/>
      <c r="U606" s="160"/>
      <c r="V606" s="160"/>
      <c r="X606" s="160"/>
      <c r="Y606" s="160"/>
      <c r="AA606" s="160"/>
      <c r="AB606" s="160"/>
      <c r="AC606" s="160"/>
      <c r="AD606" s="190"/>
    </row>
    <row r="607" spans="14:30" x14ac:dyDescent="0.2">
      <c r="N607" s="170"/>
      <c r="P607" s="189"/>
      <c r="Q607" s="160"/>
      <c r="R607" s="160"/>
      <c r="S607" s="160"/>
      <c r="T607" s="160"/>
      <c r="U607" s="160"/>
      <c r="V607" s="160"/>
      <c r="X607" s="160"/>
      <c r="Y607" s="160"/>
      <c r="AA607" s="160"/>
      <c r="AB607" s="160"/>
      <c r="AC607" s="160"/>
      <c r="AD607" s="190"/>
    </row>
    <row r="608" spans="14:30" x14ac:dyDescent="0.2">
      <c r="N608" s="170"/>
      <c r="P608" s="189"/>
      <c r="Q608" s="160"/>
      <c r="R608" s="160"/>
      <c r="S608" s="160"/>
      <c r="T608" s="160"/>
      <c r="U608" s="160"/>
      <c r="V608" s="160"/>
      <c r="X608" s="160"/>
      <c r="Y608" s="160"/>
      <c r="AA608" s="160"/>
      <c r="AB608" s="160"/>
      <c r="AC608" s="160"/>
      <c r="AD608" s="190"/>
    </row>
    <row r="609" spans="14:30" x14ac:dyDescent="0.2">
      <c r="N609" s="170"/>
      <c r="P609" s="189"/>
      <c r="Q609" s="160"/>
      <c r="R609" s="160"/>
      <c r="S609" s="160"/>
      <c r="T609" s="160"/>
      <c r="U609" s="160"/>
      <c r="V609" s="160"/>
      <c r="X609" s="160"/>
      <c r="Y609" s="160"/>
      <c r="AA609" s="160"/>
      <c r="AB609" s="160"/>
      <c r="AC609" s="160"/>
      <c r="AD609" s="190"/>
    </row>
    <row r="610" spans="14:30" x14ac:dyDescent="0.2">
      <c r="N610" s="170"/>
      <c r="P610" s="189"/>
      <c r="Q610" s="160"/>
      <c r="R610" s="160"/>
      <c r="S610" s="160"/>
      <c r="T610" s="160"/>
      <c r="U610" s="160"/>
      <c r="V610" s="160"/>
      <c r="X610" s="160"/>
      <c r="Y610" s="160"/>
      <c r="AA610" s="160"/>
      <c r="AB610" s="160"/>
      <c r="AC610" s="160"/>
      <c r="AD610" s="190"/>
    </row>
    <row r="611" spans="14:30" x14ac:dyDescent="0.2">
      <c r="N611" s="170"/>
      <c r="P611" s="189"/>
      <c r="Q611" s="160"/>
      <c r="R611" s="160"/>
      <c r="S611" s="160"/>
      <c r="T611" s="160"/>
      <c r="U611" s="160"/>
      <c r="V611" s="160"/>
      <c r="X611" s="160"/>
      <c r="Y611" s="160"/>
      <c r="AA611" s="160"/>
      <c r="AB611" s="160"/>
      <c r="AC611" s="160"/>
      <c r="AD611" s="190"/>
    </row>
    <row r="612" spans="14:30" x14ac:dyDescent="0.2">
      <c r="N612" s="170"/>
      <c r="P612" s="189"/>
      <c r="Q612" s="160"/>
      <c r="R612" s="160"/>
      <c r="S612" s="160"/>
      <c r="T612" s="160"/>
      <c r="U612" s="160"/>
      <c r="V612" s="160"/>
      <c r="X612" s="160"/>
      <c r="Y612" s="160"/>
      <c r="AA612" s="160"/>
      <c r="AB612" s="160"/>
      <c r="AC612" s="160"/>
      <c r="AD612" s="190"/>
    </row>
    <row r="613" spans="14:30" x14ac:dyDescent="0.2">
      <c r="N613" s="170"/>
      <c r="P613" s="189"/>
      <c r="Q613" s="160"/>
      <c r="R613" s="160"/>
      <c r="S613" s="160"/>
      <c r="T613" s="160"/>
      <c r="U613" s="160"/>
      <c r="V613" s="160"/>
      <c r="X613" s="160"/>
      <c r="Y613" s="160"/>
      <c r="AA613" s="160"/>
      <c r="AB613" s="160"/>
      <c r="AC613" s="160"/>
      <c r="AD613" s="190"/>
    </row>
    <row r="614" spans="14:30" x14ac:dyDescent="0.2">
      <c r="N614" s="170"/>
      <c r="P614" s="189"/>
      <c r="Q614" s="160"/>
      <c r="R614" s="160"/>
      <c r="S614" s="160"/>
      <c r="T614" s="160"/>
      <c r="U614" s="160"/>
      <c r="V614" s="160"/>
      <c r="X614" s="160"/>
      <c r="Y614" s="160"/>
      <c r="AA614" s="160"/>
      <c r="AB614" s="160"/>
      <c r="AC614" s="160"/>
      <c r="AD614" s="190"/>
    </row>
    <row r="615" spans="14:30" x14ac:dyDescent="0.2">
      <c r="N615" s="170"/>
      <c r="P615" s="189"/>
      <c r="Q615" s="160"/>
      <c r="R615" s="160"/>
      <c r="S615" s="160"/>
      <c r="T615" s="160"/>
      <c r="U615" s="160"/>
      <c r="V615" s="160"/>
      <c r="X615" s="160"/>
      <c r="Y615" s="160"/>
      <c r="AA615" s="160"/>
      <c r="AB615" s="160"/>
      <c r="AC615" s="160"/>
      <c r="AD615" s="190"/>
    </row>
    <row r="616" spans="14:30" x14ac:dyDescent="0.2">
      <c r="N616" s="170"/>
      <c r="P616" s="189"/>
      <c r="Q616" s="160"/>
      <c r="R616" s="160"/>
      <c r="S616" s="160"/>
      <c r="T616" s="160"/>
      <c r="U616" s="160"/>
      <c r="V616" s="160"/>
      <c r="X616" s="160"/>
      <c r="Y616" s="160"/>
      <c r="AA616" s="160"/>
      <c r="AB616" s="160"/>
      <c r="AC616" s="160"/>
      <c r="AD616" s="190"/>
    </row>
    <row r="617" spans="14:30" x14ac:dyDescent="0.2">
      <c r="N617" s="170"/>
      <c r="P617" s="189"/>
      <c r="Q617" s="160"/>
      <c r="R617" s="160"/>
      <c r="S617" s="160"/>
      <c r="T617" s="160"/>
      <c r="U617" s="160"/>
      <c r="V617" s="160"/>
      <c r="X617" s="160"/>
      <c r="Y617" s="160"/>
      <c r="AA617" s="160"/>
      <c r="AB617" s="160"/>
      <c r="AC617" s="160"/>
      <c r="AD617" s="190"/>
    </row>
    <row r="618" spans="14:30" x14ac:dyDescent="0.2">
      <c r="N618" s="170"/>
      <c r="P618" s="189"/>
      <c r="Q618" s="160"/>
      <c r="R618" s="160"/>
      <c r="S618" s="160"/>
      <c r="T618" s="160"/>
      <c r="U618" s="160"/>
      <c r="V618" s="160"/>
      <c r="X618" s="160"/>
      <c r="Y618" s="160"/>
      <c r="AA618" s="160"/>
      <c r="AB618" s="160"/>
      <c r="AC618" s="160"/>
      <c r="AD618" s="190"/>
    </row>
    <row r="619" spans="14:30" x14ac:dyDescent="0.2">
      <c r="N619" s="170"/>
      <c r="P619" s="189"/>
      <c r="Q619" s="160"/>
      <c r="R619" s="160"/>
      <c r="S619" s="160"/>
      <c r="T619" s="160"/>
      <c r="U619" s="160"/>
      <c r="V619" s="160"/>
      <c r="X619" s="160"/>
      <c r="Y619" s="160"/>
      <c r="AA619" s="160"/>
      <c r="AB619" s="160"/>
      <c r="AC619" s="160"/>
      <c r="AD619" s="190"/>
    </row>
    <row r="620" spans="14:30" x14ac:dyDescent="0.2">
      <c r="N620" s="170"/>
      <c r="P620" s="189"/>
      <c r="Q620" s="160"/>
      <c r="R620" s="160"/>
      <c r="S620" s="160"/>
      <c r="T620" s="160"/>
      <c r="U620" s="160"/>
      <c r="V620" s="160"/>
      <c r="X620" s="160"/>
      <c r="Y620" s="160"/>
      <c r="AA620" s="160"/>
      <c r="AB620" s="160"/>
      <c r="AC620" s="160"/>
      <c r="AD620" s="190"/>
    </row>
    <row r="621" spans="14:30" x14ac:dyDescent="0.2">
      <c r="N621" s="170"/>
      <c r="P621" s="189"/>
      <c r="Q621" s="160"/>
      <c r="R621" s="160"/>
      <c r="S621" s="160"/>
      <c r="T621" s="160"/>
      <c r="U621" s="160"/>
      <c r="V621" s="160"/>
      <c r="X621" s="160"/>
      <c r="Y621" s="160"/>
      <c r="AA621" s="160"/>
      <c r="AB621" s="160"/>
      <c r="AC621" s="160"/>
      <c r="AD621" s="190"/>
    </row>
    <row r="622" spans="14:30" x14ac:dyDescent="0.2">
      <c r="N622" s="170"/>
      <c r="P622" s="189"/>
      <c r="Q622" s="160"/>
      <c r="R622" s="160"/>
      <c r="S622" s="160"/>
      <c r="T622" s="160"/>
      <c r="U622" s="160"/>
      <c r="V622" s="160"/>
      <c r="X622" s="160"/>
      <c r="Y622" s="160"/>
      <c r="AA622" s="160"/>
      <c r="AB622" s="160"/>
      <c r="AC622" s="160"/>
      <c r="AD622" s="190"/>
    </row>
    <row r="623" spans="14:30" x14ac:dyDescent="0.2">
      <c r="N623" s="170"/>
      <c r="P623" s="189"/>
      <c r="Q623" s="160"/>
      <c r="R623" s="160"/>
      <c r="S623" s="160"/>
      <c r="T623" s="160"/>
      <c r="U623" s="160"/>
      <c r="V623" s="160"/>
      <c r="X623" s="160"/>
      <c r="Y623" s="160"/>
      <c r="AA623" s="160"/>
      <c r="AB623" s="160"/>
      <c r="AC623" s="160"/>
      <c r="AD623" s="190"/>
    </row>
    <row r="624" spans="14:30" x14ac:dyDescent="0.2">
      <c r="N624" s="170"/>
      <c r="P624" s="189"/>
      <c r="Q624" s="160"/>
      <c r="R624" s="160"/>
      <c r="S624" s="160"/>
      <c r="T624" s="160"/>
      <c r="U624" s="160"/>
      <c r="V624" s="160"/>
      <c r="X624" s="160"/>
      <c r="Y624" s="160"/>
      <c r="AA624" s="160"/>
      <c r="AB624" s="160"/>
      <c r="AC624" s="160"/>
      <c r="AD624" s="190"/>
    </row>
    <row r="625" spans="14:30" x14ac:dyDescent="0.2">
      <c r="N625" s="170"/>
      <c r="P625" s="189"/>
      <c r="Q625" s="160"/>
      <c r="R625" s="160"/>
      <c r="S625" s="160"/>
      <c r="T625" s="160"/>
      <c r="U625" s="160"/>
      <c r="V625" s="160"/>
      <c r="X625" s="160"/>
      <c r="Y625" s="160"/>
      <c r="AA625" s="160"/>
      <c r="AB625" s="160"/>
      <c r="AC625" s="160"/>
      <c r="AD625" s="190"/>
    </row>
    <row r="626" spans="14:30" x14ac:dyDescent="0.2">
      <c r="N626" s="170"/>
      <c r="P626" s="189"/>
      <c r="Q626" s="160"/>
      <c r="R626" s="160"/>
      <c r="S626" s="160"/>
      <c r="T626" s="160"/>
      <c r="U626" s="160"/>
      <c r="V626" s="160"/>
      <c r="X626" s="160"/>
      <c r="Y626" s="160"/>
      <c r="AA626" s="160"/>
      <c r="AB626" s="160"/>
      <c r="AC626" s="160"/>
      <c r="AD626" s="190"/>
    </row>
    <row r="627" spans="14:30" x14ac:dyDescent="0.2">
      <c r="N627" s="170"/>
      <c r="P627" s="189"/>
      <c r="Q627" s="160"/>
      <c r="R627" s="160"/>
      <c r="S627" s="160"/>
      <c r="T627" s="160"/>
      <c r="U627" s="160"/>
      <c r="V627" s="160"/>
      <c r="X627" s="160"/>
      <c r="Y627" s="160"/>
      <c r="AA627" s="160"/>
      <c r="AB627" s="160"/>
      <c r="AC627" s="160"/>
      <c r="AD627" s="190"/>
    </row>
    <row r="628" spans="14:30" x14ac:dyDescent="0.2">
      <c r="N628" s="170"/>
      <c r="P628" s="189"/>
      <c r="Q628" s="160"/>
      <c r="R628" s="160"/>
      <c r="S628" s="160"/>
      <c r="T628" s="160"/>
      <c r="U628" s="160"/>
      <c r="V628" s="160"/>
      <c r="X628" s="160"/>
      <c r="Y628" s="160"/>
      <c r="AA628" s="160"/>
      <c r="AB628" s="160"/>
      <c r="AC628" s="160"/>
      <c r="AD628" s="190"/>
    </row>
    <row r="629" spans="14:30" x14ac:dyDescent="0.2">
      <c r="N629" s="170"/>
      <c r="P629" s="189"/>
      <c r="Q629" s="160"/>
      <c r="R629" s="160"/>
      <c r="S629" s="160"/>
      <c r="T629" s="160"/>
      <c r="U629" s="160"/>
      <c r="V629" s="160"/>
      <c r="X629" s="160"/>
      <c r="Y629" s="160"/>
      <c r="AA629" s="160"/>
      <c r="AB629" s="160"/>
      <c r="AC629" s="160"/>
      <c r="AD629" s="190"/>
    </row>
    <row r="630" spans="14:30" x14ac:dyDescent="0.2">
      <c r="N630" s="170"/>
      <c r="P630" s="189"/>
      <c r="Q630" s="160"/>
      <c r="R630" s="160"/>
      <c r="S630" s="160"/>
      <c r="T630" s="160"/>
      <c r="U630" s="160"/>
      <c r="V630" s="160"/>
      <c r="X630" s="160"/>
      <c r="Y630" s="160"/>
      <c r="AA630" s="160"/>
      <c r="AB630" s="160"/>
      <c r="AC630" s="160"/>
      <c r="AD630" s="190"/>
    </row>
    <row r="631" spans="14:30" x14ac:dyDescent="0.2">
      <c r="N631" s="170"/>
      <c r="P631" s="189"/>
      <c r="Q631" s="160"/>
      <c r="R631" s="160"/>
      <c r="S631" s="160"/>
      <c r="T631" s="160"/>
      <c r="U631" s="160"/>
      <c r="V631" s="160"/>
      <c r="X631" s="160"/>
      <c r="Y631" s="160"/>
      <c r="AA631" s="160"/>
      <c r="AB631" s="160"/>
      <c r="AC631" s="160"/>
      <c r="AD631" s="190"/>
    </row>
    <row r="632" spans="14:30" x14ac:dyDescent="0.2">
      <c r="N632" s="170"/>
      <c r="P632" s="189"/>
      <c r="Q632" s="160"/>
      <c r="R632" s="160"/>
      <c r="S632" s="160"/>
      <c r="T632" s="160"/>
      <c r="U632" s="160"/>
      <c r="V632" s="160"/>
      <c r="X632" s="160"/>
      <c r="Y632" s="160"/>
      <c r="AA632" s="160"/>
      <c r="AB632" s="160"/>
      <c r="AC632" s="160"/>
      <c r="AD632" s="190"/>
    </row>
    <row r="633" spans="14:30" x14ac:dyDescent="0.2">
      <c r="N633" s="170"/>
      <c r="P633" s="189"/>
      <c r="Q633" s="160"/>
      <c r="R633" s="160"/>
      <c r="S633" s="160"/>
      <c r="T633" s="160"/>
      <c r="U633" s="160"/>
      <c r="V633" s="160"/>
      <c r="X633" s="160"/>
      <c r="Y633" s="160"/>
      <c r="AA633" s="160"/>
      <c r="AB633" s="160"/>
      <c r="AC633" s="160"/>
      <c r="AD633" s="190"/>
    </row>
    <row r="634" spans="14:30" x14ac:dyDescent="0.2">
      <c r="N634" s="170"/>
      <c r="P634" s="189"/>
      <c r="Q634" s="160"/>
      <c r="R634" s="160"/>
      <c r="S634" s="160"/>
      <c r="T634" s="160"/>
      <c r="U634" s="160"/>
      <c r="V634" s="160"/>
      <c r="X634" s="160"/>
      <c r="Y634" s="160"/>
      <c r="AA634" s="160"/>
      <c r="AB634" s="160"/>
      <c r="AC634" s="160"/>
      <c r="AD634" s="190"/>
    </row>
    <row r="635" spans="14:30" x14ac:dyDescent="0.2">
      <c r="N635" s="170"/>
      <c r="P635" s="189"/>
      <c r="Q635" s="160"/>
      <c r="R635" s="160"/>
      <c r="S635" s="160"/>
      <c r="T635" s="160"/>
      <c r="U635" s="160"/>
      <c r="V635" s="160"/>
      <c r="X635" s="160"/>
      <c r="Y635" s="160"/>
      <c r="AA635" s="160"/>
      <c r="AB635" s="160"/>
      <c r="AC635" s="160"/>
      <c r="AD635" s="190"/>
    </row>
    <row r="636" spans="14:30" x14ac:dyDescent="0.2">
      <c r="N636" s="170"/>
      <c r="P636" s="189"/>
      <c r="Q636" s="160"/>
      <c r="R636" s="160"/>
      <c r="S636" s="160"/>
      <c r="T636" s="160"/>
      <c r="U636" s="160"/>
      <c r="V636" s="160"/>
      <c r="X636" s="160"/>
      <c r="Y636" s="160"/>
      <c r="AA636" s="160"/>
      <c r="AB636" s="160"/>
      <c r="AC636" s="160"/>
      <c r="AD636" s="190"/>
    </row>
    <row r="637" spans="14:30" x14ac:dyDescent="0.2">
      <c r="N637" s="170"/>
      <c r="P637" s="189"/>
      <c r="Q637" s="160"/>
      <c r="R637" s="160"/>
      <c r="S637" s="160"/>
      <c r="T637" s="160"/>
      <c r="U637" s="160"/>
      <c r="V637" s="160"/>
      <c r="X637" s="160"/>
      <c r="Y637" s="160"/>
      <c r="AA637" s="160"/>
      <c r="AB637" s="160"/>
      <c r="AC637" s="160"/>
      <c r="AD637" s="190"/>
    </row>
    <row r="638" spans="14:30" x14ac:dyDescent="0.2">
      <c r="N638" s="170"/>
      <c r="P638" s="189"/>
      <c r="Q638" s="160"/>
      <c r="R638" s="160"/>
      <c r="S638" s="160"/>
      <c r="T638" s="160"/>
      <c r="U638" s="160"/>
      <c r="V638" s="160"/>
      <c r="X638" s="160"/>
      <c r="Y638" s="160"/>
      <c r="AA638" s="160"/>
      <c r="AB638" s="160"/>
      <c r="AC638" s="160"/>
      <c r="AD638" s="190"/>
    </row>
    <row r="639" spans="14:30" x14ac:dyDescent="0.2">
      <c r="N639" s="170"/>
      <c r="P639" s="189"/>
      <c r="Q639" s="160"/>
      <c r="R639" s="160"/>
      <c r="S639" s="160"/>
      <c r="T639" s="160"/>
      <c r="U639" s="160"/>
      <c r="V639" s="160"/>
      <c r="X639" s="160"/>
      <c r="Y639" s="160"/>
      <c r="AA639" s="160"/>
      <c r="AB639" s="160"/>
      <c r="AC639" s="160"/>
      <c r="AD639" s="190"/>
    </row>
    <row r="640" spans="14:30" x14ac:dyDescent="0.2">
      <c r="N640" s="170"/>
      <c r="P640" s="189"/>
      <c r="Q640" s="160"/>
      <c r="R640" s="160"/>
      <c r="S640" s="160"/>
      <c r="T640" s="160"/>
      <c r="U640" s="160"/>
      <c r="V640" s="160"/>
      <c r="X640" s="160"/>
      <c r="Y640" s="160"/>
      <c r="AA640" s="160"/>
      <c r="AB640" s="160"/>
      <c r="AC640" s="160"/>
      <c r="AD640" s="190"/>
    </row>
    <row r="641" spans="14:30" x14ac:dyDescent="0.2">
      <c r="N641" s="170"/>
      <c r="P641" s="189"/>
      <c r="Q641" s="160"/>
      <c r="R641" s="160"/>
      <c r="S641" s="160"/>
      <c r="T641" s="160"/>
      <c r="U641" s="160"/>
      <c r="V641" s="160"/>
      <c r="X641" s="160"/>
      <c r="Y641" s="160"/>
      <c r="AA641" s="160"/>
      <c r="AB641" s="160"/>
      <c r="AC641" s="160"/>
      <c r="AD641" s="190"/>
    </row>
    <row r="642" spans="14:30" x14ac:dyDescent="0.2">
      <c r="N642" s="170"/>
      <c r="P642" s="189"/>
      <c r="Q642" s="160"/>
      <c r="R642" s="160"/>
      <c r="S642" s="160"/>
      <c r="T642" s="160"/>
      <c r="U642" s="160"/>
      <c r="V642" s="160"/>
      <c r="X642" s="160"/>
      <c r="Y642" s="160"/>
      <c r="AA642" s="160"/>
      <c r="AB642" s="160"/>
      <c r="AC642" s="160"/>
      <c r="AD642" s="190"/>
    </row>
    <row r="643" spans="14:30" x14ac:dyDescent="0.2">
      <c r="N643" s="170"/>
      <c r="P643" s="189"/>
      <c r="Q643" s="160"/>
      <c r="R643" s="160"/>
      <c r="S643" s="160"/>
      <c r="T643" s="160"/>
      <c r="U643" s="160"/>
      <c r="V643" s="160"/>
      <c r="X643" s="160"/>
      <c r="Y643" s="160"/>
      <c r="AA643" s="160"/>
      <c r="AB643" s="160"/>
      <c r="AC643" s="160"/>
      <c r="AD643" s="190"/>
    </row>
    <row r="644" spans="14:30" x14ac:dyDescent="0.2">
      <c r="N644" s="170"/>
      <c r="P644" s="189"/>
      <c r="Q644" s="160"/>
      <c r="R644" s="160"/>
      <c r="S644" s="160"/>
      <c r="T644" s="160"/>
      <c r="U644" s="160"/>
      <c r="V644" s="160"/>
      <c r="X644" s="160"/>
      <c r="Y644" s="160"/>
      <c r="AA644" s="160"/>
      <c r="AB644" s="160"/>
      <c r="AC644" s="160"/>
      <c r="AD644" s="190"/>
    </row>
    <row r="645" spans="14:30" x14ac:dyDescent="0.2">
      <c r="N645" s="170"/>
      <c r="P645" s="189"/>
      <c r="Q645" s="160"/>
      <c r="R645" s="160"/>
      <c r="S645" s="160"/>
      <c r="T645" s="160"/>
      <c r="U645" s="160"/>
      <c r="V645" s="160"/>
      <c r="X645" s="160"/>
      <c r="Y645" s="160"/>
      <c r="AA645" s="160"/>
      <c r="AB645" s="160"/>
      <c r="AC645" s="160"/>
      <c r="AD645" s="190"/>
    </row>
    <row r="646" spans="14:30" x14ac:dyDescent="0.2">
      <c r="N646" s="170"/>
      <c r="P646" s="189"/>
      <c r="Q646" s="160"/>
      <c r="R646" s="160"/>
      <c r="S646" s="160"/>
      <c r="T646" s="160"/>
      <c r="U646" s="160"/>
      <c r="V646" s="160"/>
      <c r="X646" s="160"/>
      <c r="Y646" s="160"/>
      <c r="AA646" s="160"/>
      <c r="AB646" s="160"/>
      <c r="AC646" s="160"/>
      <c r="AD646" s="190"/>
    </row>
    <row r="647" spans="14:30" x14ac:dyDescent="0.2">
      <c r="N647" s="170"/>
      <c r="P647" s="189"/>
      <c r="Q647" s="160"/>
      <c r="R647" s="160"/>
      <c r="S647" s="160"/>
      <c r="T647" s="160"/>
      <c r="U647" s="160"/>
      <c r="V647" s="160"/>
      <c r="X647" s="160"/>
      <c r="Y647" s="160"/>
      <c r="AA647" s="160"/>
      <c r="AB647" s="160"/>
      <c r="AC647" s="160"/>
      <c r="AD647" s="190"/>
    </row>
    <row r="648" spans="14:30" x14ac:dyDescent="0.2">
      <c r="N648" s="170"/>
      <c r="P648" s="189"/>
      <c r="Q648" s="160"/>
      <c r="R648" s="160"/>
      <c r="S648" s="160"/>
      <c r="T648" s="160"/>
      <c r="U648" s="160"/>
      <c r="V648" s="160"/>
      <c r="X648" s="160"/>
      <c r="Y648" s="160"/>
      <c r="AA648" s="160"/>
      <c r="AB648" s="160"/>
      <c r="AC648" s="160"/>
      <c r="AD648" s="190"/>
    </row>
    <row r="649" spans="14:30" x14ac:dyDescent="0.2">
      <c r="N649" s="170"/>
      <c r="P649" s="189"/>
      <c r="Q649" s="160"/>
      <c r="R649" s="160"/>
      <c r="S649" s="160"/>
      <c r="T649" s="160"/>
      <c r="U649" s="160"/>
      <c r="V649" s="160"/>
      <c r="X649" s="160"/>
      <c r="Y649" s="160"/>
      <c r="AA649" s="160"/>
      <c r="AB649" s="160"/>
      <c r="AC649" s="160"/>
      <c r="AD649" s="190"/>
    </row>
    <row r="650" spans="14:30" x14ac:dyDescent="0.2">
      <c r="N650" s="170"/>
      <c r="P650" s="189"/>
      <c r="Q650" s="160"/>
      <c r="R650" s="160"/>
      <c r="S650" s="160"/>
      <c r="T650" s="160"/>
      <c r="U650" s="160"/>
      <c r="V650" s="160"/>
      <c r="X650" s="160"/>
      <c r="Y650" s="160"/>
      <c r="AA650" s="160"/>
      <c r="AB650" s="160"/>
      <c r="AC650" s="160"/>
      <c r="AD650" s="190"/>
    </row>
    <row r="651" spans="14:30" x14ac:dyDescent="0.2">
      <c r="N651" s="170"/>
      <c r="P651" s="189"/>
      <c r="Q651" s="160"/>
      <c r="R651" s="160"/>
      <c r="S651" s="160"/>
      <c r="T651" s="160"/>
      <c r="U651" s="160"/>
      <c r="V651" s="160"/>
      <c r="X651" s="160"/>
      <c r="Y651" s="160"/>
      <c r="AA651" s="160"/>
      <c r="AB651" s="160"/>
      <c r="AC651" s="160"/>
      <c r="AD651" s="190"/>
    </row>
    <row r="652" spans="14:30" x14ac:dyDescent="0.2">
      <c r="N652" s="170"/>
      <c r="P652" s="189"/>
      <c r="Q652" s="160"/>
      <c r="R652" s="160"/>
      <c r="S652" s="160"/>
      <c r="T652" s="160"/>
      <c r="U652" s="160"/>
      <c r="V652" s="160"/>
      <c r="X652" s="160"/>
      <c r="Y652" s="160"/>
      <c r="AA652" s="160"/>
      <c r="AB652" s="160"/>
      <c r="AC652" s="160"/>
      <c r="AD652" s="190"/>
    </row>
    <row r="653" spans="14:30" x14ac:dyDescent="0.2">
      <c r="N653" s="170"/>
      <c r="P653" s="189"/>
      <c r="Q653" s="160"/>
      <c r="R653" s="160"/>
      <c r="S653" s="160"/>
      <c r="T653" s="160"/>
      <c r="U653" s="160"/>
      <c r="V653" s="160"/>
      <c r="X653" s="160"/>
      <c r="Y653" s="160"/>
      <c r="AA653" s="160"/>
      <c r="AB653" s="160"/>
      <c r="AC653" s="160"/>
      <c r="AD653" s="190"/>
    </row>
    <row r="654" spans="14:30" x14ac:dyDescent="0.2">
      <c r="N654" s="170"/>
      <c r="P654" s="189"/>
      <c r="Q654" s="160"/>
      <c r="R654" s="160"/>
      <c r="S654" s="160"/>
      <c r="T654" s="160"/>
      <c r="U654" s="160"/>
      <c r="V654" s="160"/>
      <c r="X654" s="160"/>
      <c r="Y654" s="160"/>
      <c r="AA654" s="160"/>
      <c r="AB654" s="160"/>
      <c r="AC654" s="160"/>
      <c r="AD654" s="190"/>
    </row>
    <row r="655" spans="14:30" x14ac:dyDescent="0.2">
      <c r="N655" s="170"/>
      <c r="P655" s="189"/>
      <c r="Q655" s="160"/>
      <c r="R655" s="160"/>
      <c r="S655" s="160"/>
      <c r="T655" s="160"/>
      <c r="U655" s="160"/>
      <c r="V655" s="160"/>
      <c r="X655" s="160"/>
      <c r="Y655" s="160"/>
      <c r="AA655" s="160"/>
      <c r="AB655" s="160"/>
      <c r="AC655" s="160"/>
      <c r="AD655" s="190"/>
    </row>
    <row r="656" spans="14:30" x14ac:dyDescent="0.2">
      <c r="N656" s="170"/>
      <c r="P656" s="189"/>
      <c r="Q656" s="160"/>
      <c r="R656" s="160"/>
      <c r="S656" s="160"/>
      <c r="T656" s="160"/>
      <c r="U656" s="160"/>
      <c r="V656" s="160"/>
      <c r="X656" s="160"/>
      <c r="Y656" s="160"/>
      <c r="AA656" s="160"/>
      <c r="AB656" s="160"/>
      <c r="AC656" s="160"/>
      <c r="AD656" s="190"/>
    </row>
    <row r="657" spans="14:30" x14ac:dyDescent="0.2">
      <c r="N657" s="170"/>
      <c r="P657" s="189"/>
      <c r="Q657" s="160"/>
      <c r="R657" s="160"/>
      <c r="S657" s="160"/>
      <c r="T657" s="160"/>
      <c r="U657" s="160"/>
      <c r="V657" s="160"/>
      <c r="X657" s="160"/>
      <c r="Y657" s="160"/>
      <c r="AA657" s="160"/>
      <c r="AB657" s="160"/>
      <c r="AC657" s="160"/>
      <c r="AD657" s="190"/>
    </row>
    <row r="658" spans="14:30" x14ac:dyDescent="0.2">
      <c r="N658" s="170"/>
      <c r="P658" s="189"/>
      <c r="Q658" s="160"/>
      <c r="R658" s="160"/>
      <c r="S658" s="160"/>
      <c r="T658" s="160"/>
      <c r="U658" s="160"/>
      <c r="V658" s="160"/>
      <c r="X658" s="160"/>
      <c r="Y658" s="160"/>
      <c r="AA658" s="160"/>
      <c r="AB658" s="160"/>
      <c r="AC658" s="160"/>
      <c r="AD658" s="190"/>
    </row>
    <row r="659" spans="14:30" x14ac:dyDescent="0.2">
      <c r="N659" s="170"/>
      <c r="P659" s="189"/>
      <c r="Q659" s="160"/>
      <c r="R659" s="160"/>
      <c r="S659" s="160"/>
      <c r="T659" s="160"/>
      <c r="U659" s="160"/>
      <c r="V659" s="160"/>
      <c r="X659" s="160"/>
      <c r="Y659" s="160"/>
      <c r="AA659" s="160"/>
      <c r="AB659" s="160"/>
      <c r="AC659" s="160"/>
      <c r="AD659" s="190"/>
    </row>
    <row r="660" spans="14:30" x14ac:dyDescent="0.2">
      <c r="N660" s="170"/>
      <c r="P660" s="189"/>
      <c r="Q660" s="160"/>
      <c r="R660" s="160"/>
      <c r="S660" s="160"/>
      <c r="T660" s="160"/>
      <c r="U660" s="160"/>
      <c r="V660" s="160"/>
      <c r="X660" s="160"/>
      <c r="Y660" s="160"/>
      <c r="AA660" s="160"/>
      <c r="AB660" s="160"/>
      <c r="AC660" s="160"/>
      <c r="AD660" s="190"/>
    </row>
    <row r="661" spans="14:30" x14ac:dyDescent="0.2">
      <c r="N661" s="170"/>
      <c r="P661" s="189"/>
      <c r="Q661" s="160"/>
      <c r="R661" s="160"/>
      <c r="S661" s="160"/>
      <c r="T661" s="160"/>
      <c r="U661" s="160"/>
      <c r="V661" s="160"/>
      <c r="X661" s="160"/>
      <c r="Y661" s="160"/>
      <c r="AA661" s="160"/>
      <c r="AB661" s="160"/>
      <c r="AC661" s="160"/>
      <c r="AD661" s="190"/>
    </row>
    <row r="662" spans="14:30" x14ac:dyDescent="0.2">
      <c r="N662" s="170"/>
      <c r="P662" s="189"/>
      <c r="Q662" s="160"/>
      <c r="R662" s="160"/>
      <c r="S662" s="160"/>
      <c r="T662" s="160"/>
      <c r="U662" s="160"/>
      <c r="V662" s="160"/>
      <c r="X662" s="160"/>
      <c r="Y662" s="160"/>
      <c r="AA662" s="160"/>
      <c r="AB662" s="160"/>
      <c r="AC662" s="160"/>
      <c r="AD662" s="190"/>
    </row>
    <row r="663" spans="14:30" x14ac:dyDescent="0.2">
      <c r="N663" s="170"/>
      <c r="P663" s="189"/>
      <c r="Q663" s="160"/>
      <c r="R663" s="160"/>
      <c r="S663" s="160"/>
      <c r="T663" s="160"/>
      <c r="U663" s="160"/>
      <c r="V663" s="160"/>
      <c r="X663" s="160"/>
      <c r="Y663" s="160"/>
      <c r="AA663" s="160"/>
      <c r="AB663" s="160"/>
      <c r="AC663" s="160"/>
      <c r="AD663" s="190"/>
    </row>
    <row r="664" spans="14:30" x14ac:dyDescent="0.2">
      <c r="N664" s="170"/>
      <c r="P664" s="189"/>
      <c r="Q664" s="160"/>
      <c r="R664" s="160"/>
      <c r="S664" s="160"/>
      <c r="T664" s="160"/>
      <c r="U664" s="160"/>
      <c r="V664" s="160"/>
      <c r="X664" s="160"/>
      <c r="Y664" s="160"/>
      <c r="AA664" s="160"/>
      <c r="AB664" s="160"/>
      <c r="AC664" s="160"/>
      <c r="AD664" s="190"/>
    </row>
    <row r="665" spans="14:30" x14ac:dyDescent="0.2">
      <c r="N665" s="170"/>
      <c r="P665" s="189"/>
      <c r="Q665" s="160"/>
      <c r="R665" s="160"/>
      <c r="S665" s="160"/>
      <c r="T665" s="160"/>
      <c r="U665" s="160"/>
      <c r="V665" s="160"/>
      <c r="X665" s="160"/>
      <c r="Y665" s="160"/>
      <c r="AA665" s="160"/>
      <c r="AB665" s="160"/>
      <c r="AC665" s="160"/>
      <c r="AD665" s="190"/>
    </row>
    <row r="666" spans="14:30" x14ac:dyDescent="0.2">
      <c r="N666" s="170"/>
      <c r="P666" s="189"/>
      <c r="Q666" s="160"/>
      <c r="R666" s="160"/>
      <c r="S666" s="160"/>
      <c r="T666" s="160"/>
      <c r="U666" s="160"/>
      <c r="V666" s="160"/>
      <c r="X666" s="160"/>
      <c r="Y666" s="160"/>
      <c r="AA666" s="160"/>
      <c r="AB666" s="160"/>
      <c r="AC666" s="160"/>
      <c r="AD666" s="190"/>
    </row>
    <row r="667" spans="14:30" x14ac:dyDescent="0.2">
      <c r="N667" s="170"/>
      <c r="P667" s="189"/>
      <c r="Q667" s="160"/>
      <c r="R667" s="160"/>
      <c r="S667" s="160"/>
      <c r="T667" s="160"/>
      <c r="U667" s="160"/>
      <c r="V667" s="160"/>
      <c r="X667" s="160"/>
      <c r="Y667" s="160"/>
      <c r="AA667" s="160"/>
      <c r="AB667" s="160"/>
      <c r="AC667" s="160"/>
      <c r="AD667" s="190"/>
    </row>
    <row r="668" spans="14:30" x14ac:dyDescent="0.2">
      <c r="N668" s="170"/>
      <c r="P668" s="189"/>
      <c r="Q668" s="160"/>
      <c r="R668" s="160"/>
      <c r="S668" s="160"/>
      <c r="T668" s="160"/>
      <c r="U668" s="160"/>
      <c r="V668" s="160"/>
      <c r="X668" s="160"/>
      <c r="Y668" s="160"/>
      <c r="AA668" s="160"/>
      <c r="AB668" s="160"/>
      <c r="AC668" s="160"/>
      <c r="AD668" s="190"/>
    </row>
    <row r="669" spans="14:30" x14ac:dyDescent="0.2">
      <c r="N669" s="170"/>
      <c r="P669" s="189"/>
      <c r="Q669" s="160"/>
      <c r="R669" s="160"/>
      <c r="S669" s="160"/>
      <c r="T669" s="160"/>
      <c r="U669" s="160"/>
      <c r="V669" s="160"/>
      <c r="X669" s="160"/>
      <c r="Y669" s="160"/>
      <c r="AA669" s="160"/>
      <c r="AB669" s="160"/>
      <c r="AC669" s="160"/>
      <c r="AD669" s="190"/>
    </row>
    <row r="670" spans="14:30" x14ac:dyDescent="0.2">
      <c r="N670" s="170"/>
      <c r="P670" s="189"/>
      <c r="Q670" s="160"/>
      <c r="R670" s="160"/>
      <c r="S670" s="160"/>
      <c r="T670" s="160"/>
      <c r="U670" s="160"/>
      <c r="V670" s="160"/>
      <c r="X670" s="160"/>
      <c r="Y670" s="160"/>
      <c r="AA670" s="160"/>
      <c r="AB670" s="160"/>
      <c r="AC670" s="160"/>
      <c r="AD670" s="190"/>
    </row>
    <row r="671" spans="14:30" x14ac:dyDescent="0.2">
      <c r="N671" s="170"/>
      <c r="P671" s="189"/>
      <c r="Q671" s="160"/>
      <c r="R671" s="160"/>
      <c r="S671" s="160"/>
      <c r="T671" s="160"/>
      <c r="U671" s="160"/>
      <c r="V671" s="160"/>
      <c r="X671" s="160"/>
      <c r="Y671" s="160"/>
      <c r="AA671" s="160"/>
      <c r="AB671" s="160"/>
      <c r="AC671" s="160"/>
      <c r="AD671" s="190"/>
    </row>
    <row r="672" spans="14:30" x14ac:dyDescent="0.2">
      <c r="N672" s="170"/>
      <c r="P672" s="189"/>
      <c r="Q672" s="160"/>
      <c r="R672" s="160"/>
      <c r="S672" s="160"/>
      <c r="T672" s="160"/>
      <c r="U672" s="160"/>
      <c r="V672" s="160"/>
      <c r="X672" s="160"/>
      <c r="Y672" s="160"/>
      <c r="AA672" s="160"/>
      <c r="AB672" s="160"/>
      <c r="AC672" s="160"/>
      <c r="AD672" s="190"/>
    </row>
    <row r="673" spans="14:30" x14ac:dyDescent="0.2">
      <c r="N673" s="170"/>
      <c r="P673" s="189"/>
      <c r="Q673" s="160"/>
      <c r="R673" s="160"/>
      <c r="S673" s="160"/>
      <c r="T673" s="160"/>
      <c r="U673" s="160"/>
      <c r="V673" s="160"/>
      <c r="X673" s="160"/>
      <c r="Y673" s="160"/>
      <c r="AA673" s="160"/>
      <c r="AB673" s="160"/>
      <c r="AC673" s="160"/>
      <c r="AD673" s="190"/>
    </row>
    <row r="674" spans="14:30" x14ac:dyDescent="0.2">
      <c r="N674" s="170"/>
      <c r="P674" s="189"/>
      <c r="Q674" s="160"/>
      <c r="R674" s="160"/>
      <c r="S674" s="160"/>
      <c r="T674" s="160"/>
      <c r="U674" s="160"/>
      <c r="V674" s="160"/>
      <c r="X674" s="160"/>
      <c r="Y674" s="160"/>
      <c r="AA674" s="160"/>
      <c r="AB674" s="160"/>
      <c r="AC674" s="160"/>
      <c r="AD674" s="190"/>
    </row>
    <row r="675" spans="14:30" x14ac:dyDescent="0.2">
      <c r="N675" s="170"/>
      <c r="P675" s="189"/>
      <c r="Q675" s="160"/>
      <c r="R675" s="160"/>
      <c r="S675" s="160"/>
      <c r="T675" s="160"/>
      <c r="U675" s="160"/>
      <c r="V675" s="160"/>
      <c r="X675" s="160"/>
      <c r="Y675" s="160"/>
      <c r="AA675" s="160"/>
      <c r="AB675" s="160"/>
      <c r="AC675" s="160"/>
      <c r="AD675" s="190"/>
    </row>
    <row r="676" spans="14:30" x14ac:dyDescent="0.2">
      <c r="N676" s="170"/>
      <c r="P676" s="189"/>
      <c r="Q676" s="160"/>
      <c r="R676" s="160"/>
      <c r="S676" s="160"/>
      <c r="T676" s="160"/>
      <c r="U676" s="160"/>
      <c r="V676" s="160"/>
      <c r="X676" s="160"/>
      <c r="Y676" s="160"/>
      <c r="AA676" s="160"/>
      <c r="AB676" s="160"/>
      <c r="AC676" s="160"/>
      <c r="AD676" s="190"/>
    </row>
    <row r="677" spans="14:30" x14ac:dyDescent="0.2">
      <c r="N677" s="170"/>
      <c r="P677" s="189"/>
      <c r="Q677" s="160"/>
      <c r="R677" s="160"/>
      <c r="S677" s="160"/>
      <c r="T677" s="160"/>
      <c r="U677" s="160"/>
      <c r="V677" s="160"/>
      <c r="X677" s="160"/>
      <c r="Y677" s="160"/>
      <c r="AA677" s="160"/>
      <c r="AB677" s="160"/>
      <c r="AC677" s="160"/>
      <c r="AD677" s="190"/>
    </row>
    <row r="678" spans="14:30" x14ac:dyDescent="0.2">
      <c r="N678" s="170"/>
      <c r="P678" s="189"/>
      <c r="Q678" s="160"/>
      <c r="R678" s="160"/>
      <c r="S678" s="160"/>
      <c r="T678" s="160"/>
      <c r="U678" s="160"/>
      <c r="V678" s="160"/>
      <c r="X678" s="160"/>
      <c r="Y678" s="160"/>
      <c r="AA678" s="160"/>
      <c r="AB678" s="160"/>
      <c r="AC678" s="160"/>
      <c r="AD678" s="190"/>
    </row>
    <row r="679" spans="14:30" x14ac:dyDescent="0.2">
      <c r="N679" s="170"/>
      <c r="P679" s="189"/>
      <c r="Q679" s="160"/>
      <c r="R679" s="160"/>
      <c r="S679" s="160"/>
      <c r="T679" s="160"/>
      <c r="U679" s="160"/>
      <c r="V679" s="160"/>
      <c r="X679" s="160"/>
      <c r="Y679" s="160"/>
      <c r="AA679" s="160"/>
      <c r="AB679" s="160"/>
      <c r="AC679" s="160"/>
      <c r="AD679" s="190"/>
    </row>
    <row r="680" spans="14:30" x14ac:dyDescent="0.2">
      <c r="N680" s="170"/>
      <c r="P680" s="189"/>
      <c r="Q680" s="160"/>
      <c r="R680" s="160"/>
      <c r="S680" s="160"/>
      <c r="T680" s="160"/>
      <c r="U680" s="160"/>
      <c r="V680" s="160"/>
      <c r="X680" s="160"/>
      <c r="Y680" s="160"/>
      <c r="AA680" s="160"/>
      <c r="AB680" s="160"/>
      <c r="AC680" s="160"/>
      <c r="AD680" s="190"/>
    </row>
    <row r="681" spans="14:30" x14ac:dyDescent="0.2">
      <c r="N681" s="170"/>
      <c r="P681" s="189"/>
      <c r="Q681" s="160"/>
      <c r="R681" s="160"/>
      <c r="S681" s="160"/>
      <c r="T681" s="160"/>
      <c r="U681" s="160"/>
      <c r="V681" s="160"/>
      <c r="X681" s="160"/>
      <c r="Y681" s="160"/>
      <c r="AA681" s="160"/>
      <c r="AB681" s="160"/>
      <c r="AC681" s="160"/>
      <c r="AD681" s="190"/>
    </row>
    <row r="682" spans="14:30" x14ac:dyDescent="0.2">
      <c r="N682" s="170"/>
      <c r="P682" s="189"/>
      <c r="Q682" s="160"/>
      <c r="R682" s="160"/>
      <c r="S682" s="160"/>
      <c r="T682" s="160"/>
      <c r="U682" s="160"/>
      <c r="V682" s="160"/>
      <c r="X682" s="160"/>
      <c r="Y682" s="160"/>
      <c r="AA682" s="160"/>
      <c r="AB682" s="160"/>
      <c r="AC682" s="160"/>
      <c r="AD682" s="190"/>
    </row>
    <row r="683" spans="14:30" x14ac:dyDescent="0.2">
      <c r="N683" s="170"/>
      <c r="P683" s="189"/>
      <c r="Q683" s="160"/>
      <c r="R683" s="160"/>
      <c r="S683" s="160"/>
      <c r="T683" s="160"/>
      <c r="U683" s="160"/>
      <c r="V683" s="160"/>
      <c r="X683" s="160"/>
      <c r="Y683" s="160"/>
      <c r="AA683" s="160"/>
      <c r="AB683" s="160"/>
      <c r="AC683" s="160"/>
      <c r="AD683" s="190"/>
    </row>
    <row r="684" spans="14:30" x14ac:dyDescent="0.2">
      <c r="N684" s="170"/>
      <c r="P684" s="189"/>
      <c r="Q684" s="160"/>
      <c r="R684" s="160"/>
      <c r="S684" s="160"/>
      <c r="T684" s="160"/>
      <c r="U684" s="160"/>
      <c r="V684" s="160"/>
      <c r="X684" s="160"/>
      <c r="Y684" s="160"/>
      <c r="AA684" s="160"/>
      <c r="AB684" s="160"/>
      <c r="AC684" s="160"/>
      <c r="AD684" s="190"/>
    </row>
    <row r="685" spans="14:30" x14ac:dyDescent="0.2">
      <c r="N685" s="170"/>
      <c r="P685" s="189"/>
      <c r="Q685" s="160"/>
      <c r="R685" s="160"/>
      <c r="S685" s="160"/>
      <c r="T685" s="160"/>
      <c r="U685" s="160"/>
      <c r="V685" s="160"/>
      <c r="X685" s="160"/>
      <c r="Y685" s="160"/>
      <c r="AA685" s="160"/>
      <c r="AB685" s="160"/>
      <c r="AC685" s="160"/>
      <c r="AD685" s="190"/>
    </row>
    <row r="686" spans="14:30" x14ac:dyDescent="0.2">
      <c r="N686" s="170"/>
      <c r="P686" s="189"/>
      <c r="Q686" s="160"/>
      <c r="R686" s="160"/>
      <c r="S686" s="160"/>
      <c r="T686" s="160"/>
      <c r="U686" s="160"/>
      <c r="V686" s="160"/>
      <c r="X686" s="160"/>
      <c r="Y686" s="160"/>
      <c r="AA686" s="160"/>
      <c r="AB686" s="160"/>
      <c r="AC686" s="160"/>
      <c r="AD686" s="190"/>
    </row>
    <row r="687" spans="14:30" x14ac:dyDescent="0.2">
      <c r="N687" s="170"/>
      <c r="P687" s="189"/>
      <c r="Q687" s="160"/>
      <c r="R687" s="160"/>
      <c r="S687" s="160"/>
      <c r="T687" s="160"/>
      <c r="U687" s="160"/>
      <c r="V687" s="160"/>
      <c r="X687" s="160"/>
      <c r="Y687" s="160"/>
      <c r="AA687" s="160"/>
      <c r="AB687" s="160"/>
      <c r="AC687" s="160"/>
      <c r="AD687" s="190"/>
    </row>
    <row r="688" spans="14:30" x14ac:dyDescent="0.2">
      <c r="N688" s="170"/>
      <c r="P688" s="189"/>
      <c r="Q688" s="160"/>
      <c r="R688" s="160"/>
      <c r="S688" s="160"/>
      <c r="T688" s="160"/>
      <c r="U688" s="160"/>
      <c r="V688" s="160"/>
      <c r="X688" s="160"/>
      <c r="Y688" s="160"/>
      <c r="AA688" s="160"/>
      <c r="AB688" s="160"/>
      <c r="AC688" s="160"/>
      <c r="AD688" s="190"/>
    </row>
    <row r="689" spans="14:30" x14ac:dyDescent="0.2">
      <c r="N689" s="170"/>
      <c r="P689" s="189"/>
      <c r="Q689" s="160"/>
      <c r="R689" s="160"/>
      <c r="S689" s="160"/>
      <c r="T689" s="160"/>
      <c r="U689" s="160"/>
      <c r="V689" s="160"/>
      <c r="X689" s="160"/>
      <c r="Y689" s="160"/>
      <c r="AA689" s="160"/>
      <c r="AB689" s="160"/>
      <c r="AC689" s="160"/>
      <c r="AD689" s="190"/>
    </row>
    <row r="690" spans="14:30" x14ac:dyDescent="0.2">
      <c r="N690" s="170"/>
      <c r="P690" s="189"/>
      <c r="Q690" s="160"/>
      <c r="R690" s="160"/>
      <c r="S690" s="160"/>
      <c r="T690" s="160"/>
      <c r="U690" s="160"/>
      <c r="V690" s="160"/>
      <c r="X690" s="160"/>
      <c r="Y690" s="160"/>
      <c r="AA690" s="160"/>
      <c r="AB690" s="160"/>
      <c r="AC690" s="160"/>
      <c r="AD690" s="190"/>
    </row>
    <row r="691" spans="14:30" x14ac:dyDescent="0.2">
      <c r="N691" s="170"/>
      <c r="P691" s="189"/>
      <c r="Q691" s="160"/>
      <c r="R691" s="160"/>
      <c r="S691" s="160"/>
      <c r="T691" s="160"/>
      <c r="U691" s="160"/>
      <c r="V691" s="160"/>
      <c r="X691" s="160"/>
      <c r="Y691" s="160"/>
      <c r="AA691" s="160"/>
      <c r="AB691" s="160"/>
      <c r="AC691" s="160"/>
      <c r="AD691" s="190"/>
    </row>
    <row r="692" spans="14:30" x14ac:dyDescent="0.2">
      <c r="N692" s="170"/>
      <c r="P692" s="189"/>
      <c r="Q692" s="160"/>
      <c r="R692" s="160"/>
      <c r="S692" s="160"/>
      <c r="T692" s="160"/>
      <c r="U692" s="160"/>
      <c r="V692" s="160"/>
      <c r="X692" s="160"/>
      <c r="Y692" s="160"/>
      <c r="AA692" s="160"/>
      <c r="AB692" s="160"/>
      <c r="AC692" s="160"/>
      <c r="AD692" s="190"/>
    </row>
    <row r="693" spans="14:30" x14ac:dyDescent="0.2">
      <c r="N693" s="170"/>
      <c r="P693" s="189"/>
      <c r="Q693" s="160"/>
      <c r="R693" s="160"/>
      <c r="S693" s="160"/>
      <c r="T693" s="160"/>
      <c r="U693" s="160"/>
      <c r="V693" s="160"/>
      <c r="X693" s="160"/>
      <c r="Y693" s="160"/>
      <c r="AA693" s="160"/>
      <c r="AB693" s="160"/>
      <c r="AC693" s="160"/>
      <c r="AD693" s="190"/>
    </row>
    <row r="694" spans="14:30" x14ac:dyDescent="0.2">
      <c r="N694" s="170"/>
      <c r="P694" s="189"/>
      <c r="Q694" s="160"/>
      <c r="R694" s="160"/>
      <c r="S694" s="160"/>
      <c r="T694" s="160"/>
      <c r="U694" s="160"/>
      <c r="V694" s="160"/>
      <c r="X694" s="160"/>
      <c r="Y694" s="160"/>
      <c r="AA694" s="160"/>
      <c r="AB694" s="160"/>
      <c r="AC694" s="160"/>
      <c r="AD694" s="190"/>
    </row>
    <row r="695" spans="14:30" x14ac:dyDescent="0.2">
      <c r="N695" s="170"/>
      <c r="P695" s="189"/>
      <c r="Q695" s="160"/>
      <c r="R695" s="160"/>
      <c r="S695" s="160"/>
      <c r="T695" s="160"/>
      <c r="U695" s="160"/>
      <c r="V695" s="160"/>
      <c r="X695" s="160"/>
      <c r="Y695" s="160"/>
      <c r="AA695" s="160"/>
      <c r="AB695" s="160"/>
      <c r="AC695" s="160"/>
      <c r="AD695" s="190"/>
    </row>
    <row r="696" spans="14:30" x14ac:dyDescent="0.2">
      <c r="N696" s="170"/>
      <c r="P696" s="189"/>
      <c r="Q696" s="160"/>
      <c r="R696" s="160"/>
      <c r="S696" s="160"/>
      <c r="T696" s="160"/>
      <c r="U696" s="160"/>
      <c r="V696" s="160"/>
      <c r="X696" s="160"/>
      <c r="Y696" s="160"/>
      <c r="AA696" s="160"/>
      <c r="AB696" s="160"/>
      <c r="AC696" s="160"/>
      <c r="AD696" s="190"/>
    </row>
    <row r="697" spans="14:30" x14ac:dyDescent="0.2">
      <c r="N697" s="170"/>
      <c r="P697" s="189"/>
      <c r="Q697" s="160"/>
      <c r="R697" s="160"/>
      <c r="S697" s="160"/>
      <c r="T697" s="160"/>
      <c r="U697" s="160"/>
      <c r="V697" s="160"/>
      <c r="X697" s="160"/>
      <c r="Y697" s="160"/>
      <c r="AA697" s="160"/>
      <c r="AB697" s="160"/>
      <c r="AC697" s="160"/>
      <c r="AD697" s="190"/>
    </row>
    <row r="698" spans="14:30" x14ac:dyDescent="0.2">
      <c r="N698" s="170"/>
      <c r="P698" s="189"/>
      <c r="Q698" s="160"/>
      <c r="R698" s="160"/>
      <c r="S698" s="160"/>
      <c r="T698" s="160"/>
      <c r="U698" s="160"/>
      <c r="V698" s="160"/>
      <c r="X698" s="160"/>
      <c r="Y698" s="160"/>
      <c r="AA698" s="160"/>
      <c r="AB698" s="160"/>
      <c r="AC698" s="160"/>
      <c r="AD698" s="190"/>
    </row>
    <row r="699" spans="14:30" x14ac:dyDescent="0.2">
      <c r="N699" s="170"/>
      <c r="P699" s="189"/>
      <c r="Q699" s="160"/>
      <c r="R699" s="160"/>
      <c r="S699" s="160"/>
      <c r="T699" s="160"/>
      <c r="U699" s="160"/>
      <c r="V699" s="160"/>
      <c r="X699" s="160"/>
      <c r="Y699" s="160"/>
      <c r="AA699" s="160"/>
      <c r="AB699" s="160"/>
      <c r="AC699" s="160"/>
      <c r="AD699" s="190"/>
    </row>
    <row r="700" spans="14:30" x14ac:dyDescent="0.2">
      <c r="N700" s="170"/>
      <c r="P700" s="189"/>
      <c r="Q700" s="160"/>
      <c r="R700" s="160"/>
      <c r="S700" s="160"/>
      <c r="T700" s="160"/>
      <c r="U700" s="160"/>
      <c r="V700" s="160"/>
      <c r="X700" s="160"/>
      <c r="Y700" s="160"/>
      <c r="AA700" s="160"/>
      <c r="AB700" s="160"/>
      <c r="AC700" s="160"/>
      <c r="AD700" s="190"/>
    </row>
    <row r="701" spans="14:30" x14ac:dyDescent="0.2">
      <c r="N701" s="170"/>
      <c r="P701" s="189"/>
      <c r="Q701" s="160"/>
      <c r="R701" s="160"/>
      <c r="S701" s="160"/>
      <c r="T701" s="160"/>
      <c r="U701" s="160"/>
      <c r="V701" s="160"/>
      <c r="X701" s="160"/>
      <c r="Y701" s="160"/>
      <c r="AA701" s="160"/>
      <c r="AB701" s="160"/>
      <c r="AC701" s="160"/>
      <c r="AD701" s="190"/>
    </row>
    <row r="702" spans="14:30" x14ac:dyDescent="0.2">
      <c r="N702" s="170"/>
      <c r="P702" s="189"/>
      <c r="Q702" s="160"/>
      <c r="R702" s="160"/>
      <c r="S702" s="160"/>
      <c r="T702" s="160"/>
      <c r="U702" s="160"/>
      <c r="V702" s="160"/>
      <c r="X702" s="160"/>
      <c r="Y702" s="160"/>
      <c r="AA702" s="160"/>
      <c r="AB702" s="160"/>
      <c r="AC702" s="160"/>
      <c r="AD702" s="190"/>
    </row>
    <row r="703" spans="14:30" x14ac:dyDescent="0.2">
      <c r="N703" s="170"/>
      <c r="P703" s="189"/>
      <c r="Q703" s="160"/>
      <c r="R703" s="160"/>
      <c r="S703" s="160"/>
      <c r="T703" s="160"/>
      <c r="U703" s="160"/>
      <c r="V703" s="160"/>
      <c r="X703" s="160"/>
      <c r="Y703" s="160"/>
      <c r="AA703" s="160"/>
      <c r="AB703" s="160"/>
      <c r="AC703" s="160"/>
      <c r="AD703" s="190"/>
    </row>
    <row r="704" spans="14:30" x14ac:dyDescent="0.2">
      <c r="N704" s="170"/>
      <c r="P704" s="189"/>
      <c r="Q704" s="160"/>
      <c r="R704" s="160"/>
      <c r="S704" s="160"/>
      <c r="T704" s="160"/>
      <c r="U704" s="160"/>
      <c r="V704" s="160"/>
      <c r="X704" s="160"/>
      <c r="Y704" s="160"/>
      <c r="AA704" s="160"/>
      <c r="AB704" s="160"/>
      <c r="AC704" s="160"/>
      <c r="AD704" s="190"/>
    </row>
    <row r="705" spans="14:30" x14ac:dyDescent="0.2">
      <c r="N705" s="170"/>
      <c r="P705" s="189"/>
      <c r="Q705" s="160"/>
      <c r="R705" s="160"/>
      <c r="S705" s="160"/>
      <c r="T705" s="160"/>
      <c r="U705" s="160"/>
      <c r="V705" s="160"/>
      <c r="X705" s="160"/>
      <c r="Y705" s="160"/>
      <c r="AA705" s="160"/>
      <c r="AB705" s="160"/>
      <c r="AC705" s="160"/>
      <c r="AD705" s="190"/>
    </row>
    <row r="706" spans="14:30" x14ac:dyDescent="0.2">
      <c r="N706" s="170"/>
      <c r="P706" s="189"/>
      <c r="Q706" s="160"/>
      <c r="R706" s="160"/>
      <c r="S706" s="160"/>
      <c r="T706" s="160"/>
      <c r="U706" s="160"/>
      <c r="V706" s="160"/>
      <c r="X706" s="160"/>
      <c r="Y706" s="160"/>
      <c r="AA706" s="160"/>
      <c r="AB706" s="160"/>
      <c r="AC706" s="160"/>
      <c r="AD706" s="190"/>
    </row>
    <row r="707" spans="14:30" x14ac:dyDescent="0.2">
      <c r="N707" s="170"/>
      <c r="P707" s="189"/>
      <c r="Q707" s="160"/>
      <c r="R707" s="160"/>
      <c r="S707" s="160"/>
      <c r="T707" s="160"/>
      <c r="U707" s="160"/>
      <c r="V707" s="160"/>
      <c r="X707" s="160"/>
      <c r="Y707" s="160"/>
      <c r="AA707" s="160"/>
      <c r="AB707" s="160"/>
      <c r="AC707" s="160"/>
      <c r="AD707" s="190"/>
    </row>
    <row r="708" spans="14:30" x14ac:dyDescent="0.2">
      <c r="N708" s="170"/>
      <c r="P708" s="189"/>
      <c r="Q708" s="160"/>
      <c r="R708" s="160"/>
      <c r="S708" s="160"/>
      <c r="T708" s="160"/>
      <c r="U708" s="160"/>
      <c r="V708" s="160"/>
      <c r="X708" s="160"/>
      <c r="Y708" s="160"/>
      <c r="AA708" s="160"/>
      <c r="AB708" s="160"/>
      <c r="AC708" s="160"/>
      <c r="AD708" s="190"/>
    </row>
  </sheetData>
  <mergeCells count="29">
    <mergeCell ref="A1:M1"/>
    <mergeCell ref="E6:K6"/>
    <mergeCell ref="Q17:S17"/>
    <mergeCell ref="T17:V17"/>
    <mergeCell ref="W17:Y17"/>
    <mergeCell ref="P16:AE16"/>
    <mergeCell ref="Z17:AB17"/>
    <mergeCell ref="N1:X1"/>
    <mergeCell ref="P4:AE4"/>
    <mergeCell ref="AF4:AR4"/>
    <mergeCell ref="AS4:AU4"/>
    <mergeCell ref="Q5:S5"/>
    <mergeCell ref="T5:V5"/>
    <mergeCell ref="W5:Y5"/>
    <mergeCell ref="Z5:AB5"/>
    <mergeCell ref="AC5:AE5"/>
    <mergeCell ref="AG5:AI5"/>
    <mergeCell ref="AJ5:AL5"/>
    <mergeCell ref="AM5:AO5"/>
    <mergeCell ref="AP5:AR5"/>
    <mergeCell ref="AS5:AU5"/>
    <mergeCell ref="AP17:AR17"/>
    <mergeCell ref="AC17:AE17"/>
    <mergeCell ref="AS16:AU16"/>
    <mergeCell ref="AS17:AU17"/>
    <mergeCell ref="AG17:AI17"/>
    <mergeCell ref="AJ17:AL17"/>
    <mergeCell ref="AM17:AO17"/>
    <mergeCell ref="AF16:AR16"/>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53"/>
  <sheetViews>
    <sheetView zoomScale="70" zoomScaleNormal="70" workbookViewId="0">
      <selection activeCell="B51" sqref="B51"/>
    </sheetView>
  </sheetViews>
  <sheetFormatPr baseColWidth="10" defaultColWidth="8.83203125" defaultRowHeight="15" x14ac:dyDescent="0.2"/>
  <cols>
    <col min="1" max="1" width="26.6640625" customWidth="1"/>
    <col min="2" max="2" width="25.5" customWidth="1"/>
    <col min="3" max="3" width="10.1640625" customWidth="1"/>
  </cols>
  <sheetData>
    <row r="1" spans="1:9" ht="28" x14ac:dyDescent="0.3">
      <c r="A1" s="230" t="s">
        <v>80</v>
      </c>
      <c r="B1" s="230"/>
      <c r="C1" s="230"/>
      <c r="D1" s="230"/>
      <c r="E1" s="230"/>
      <c r="F1" s="230"/>
      <c r="G1" s="230"/>
      <c r="H1" s="230"/>
      <c r="I1" s="230"/>
    </row>
    <row r="2" spans="1:9" x14ac:dyDescent="0.2">
      <c r="A2" s="5"/>
      <c r="B2" s="5" t="s">
        <v>16</v>
      </c>
      <c r="C2" s="6"/>
      <c r="D2" s="4"/>
      <c r="E2" s="5"/>
      <c r="F2" s="5"/>
      <c r="G2" s="5"/>
      <c r="H2" s="5"/>
      <c r="I2" s="5"/>
    </row>
    <row r="3" spans="1:9" x14ac:dyDescent="0.2">
      <c r="A3" s="5"/>
      <c r="B3" s="5" t="s">
        <v>17</v>
      </c>
      <c r="C3" s="7"/>
      <c r="D3" s="4"/>
      <c r="E3" s="5"/>
      <c r="F3" s="5"/>
      <c r="G3" s="5"/>
      <c r="H3" s="5"/>
      <c r="I3" s="5"/>
    </row>
    <row r="4" spans="1:9" x14ac:dyDescent="0.2">
      <c r="A4" s="5"/>
      <c r="B4" s="5" t="s">
        <v>18</v>
      </c>
      <c r="C4" s="8"/>
      <c r="D4" s="4"/>
      <c r="E4" s="5"/>
      <c r="F4" s="5"/>
      <c r="G4" s="5"/>
      <c r="H4" s="5"/>
      <c r="I4" s="5"/>
    </row>
    <row r="5" spans="1:9" x14ac:dyDescent="0.2">
      <c r="A5" s="9" t="s">
        <v>19</v>
      </c>
      <c r="B5" s="9" t="s">
        <v>20</v>
      </c>
      <c r="C5" s="9" t="s">
        <v>21</v>
      </c>
      <c r="D5" s="4"/>
      <c r="E5" s="231" t="s">
        <v>22</v>
      </c>
      <c r="F5" s="231"/>
      <c r="G5" s="231"/>
      <c r="H5" s="231"/>
      <c r="I5" s="9"/>
    </row>
    <row r="6" spans="1:9" x14ac:dyDescent="0.2">
      <c r="A6" s="9"/>
      <c r="B6" s="9"/>
      <c r="C6" s="9"/>
      <c r="D6" s="4"/>
      <c r="E6" s="5"/>
      <c r="F6" s="5"/>
      <c r="G6" s="5"/>
      <c r="H6" s="5"/>
      <c r="I6" s="9"/>
    </row>
    <row r="7" spans="1:9" x14ac:dyDescent="0.2">
      <c r="A7" s="9" t="s">
        <v>58</v>
      </c>
      <c r="B7" s="9"/>
      <c r="C7" s="9"/>
      <c r="D7" s="4"/>
      <c r="E7" s="5"/>
      <c r="F7" s="5"/>
      <c r="G7" s="5"/>
      <c r="H7" s="5"/>
      <c r="I7" s="9"/>
    </row>
    <row r="8" spans="1:9" x14ac:dyDescent="0.2">
      <c r="A8" s="9"/>
      <c r="B8" s="9"/>
      <c r="C8" s="9"/>
      <c r="D8" s="4"/>
      <c r="E8" s="5"/>
      <c r="F8" s="5"/>
      <c r="G8" s="5"/>
      <c r="H8" s="5"/>
      <c r="I8" s="9"/>
    </row>
    <row r="9" spans="1:9" x14ac:dyDescent="0.2">
      <c r="A9" t="s">
        <v>47</v>
      </c>
      <c r="B9" s="12">
        <v>0.8</v>
      </c>
      <c r="D9" t="s">
        <v>50</v>
      </c>
    </row>
    <row r="10" spans="1:9" x14ac:dyDescent="0.2">
      <c r="A10" t="s">
        <v>51</v>
      </c>
      <c r="B10" s="13">
        <f>(1-B9)/(2.2*10^6)</f>
        <v>9.0909090909090888E-8</v>
      </c>
      <c r="C10" t="s">
        <v>54</v>
      </c>
      <c r="D10" t="s">
        <v>57</v>
      </c>
    </row>
    <row r="11" spans="1:9" x14ac:dyDescent="0.2">
      <c r="A11" t="s">
        <v>48</v>
      </c>
      <c r="B11" s="12">
        <v>0.85</v>
      </c>
      <c r="D11" t="s">
        <v>50</v>
      </c>
    </row>
    <row r="12" spans="1:9" x14ac:dyDescent="0.2">
      <c r="A12" t="s">
        <v>52</v>
      </c>
      <c r="B12" s="13">
        <f>(1-B11)/(2.2*10^6)</f>
        <v>6.8181818181818186E-8</v>
      </c>
      <c r="C12" t="s">
        <v>54</v>
      </c>
      <c r="D12" t="s">
        <v>56</v>
      </c>
    </row>
    <row r="13" spans="1:9" x14ac:dyDescent="0.2">
      <c r="A13" t="s">
        <v>49</v>
      </c>
      <c r="B13" s="12">
        <v>0.9</v>
      </c>
      <c r="D13" t="s">
        <v>50</v>
      </c>
    </row>
    <row r="14" spans="1:9" x14ac:dyDescent="0.2">
      <c r="A14" t="s">
        <v>53</v>
      </c>
      <c r="B14" s="13">
        <f>(1-B13)/(2.2*10^6)</f>
        <v>4.5454545454545444E-8</v>
      </c>
      <c r="C14" t="s">
        <v>54</v>
      </c>
      <c r="D14" t="s">
        <v>55</v>
      </c>
    </row>
    <row r="16" spans="1:9" x14ac:dyDescent="0.2">
      <c r="A16" t="s">
        <v>59</v>
      </c>
      <c r="B16" s="12">
        <v>0.9</v>
      </c>
      <c r="D16" t="s">
        <v>65</v>
      </c>
    </row>
    <row r="17" spans="1:4" x14ac:dyDescent="0.2">
      <c r="A17" t="s">
        <v>60</v>
      </c>
      <c r="B17" s="12">
        <v>0.93</v>
      </c>
      <c r="D17" t="s">
        <v>62</v>
      </c>
    </row>
    <row r="18" spans="1:4" x14ac:dyDescent="0.2">
      <c r="A18" t="s">
        <v>61</v>
      </c>
      <c r="B18" s="12">
        <v>0.96</v>
      </c>
      <c r="D18" t="s">
        <v>66</v>
      </c>
    </row>
    <row r="19" spans="1:4" x14ac:dyDescent="0.2">
      <c r="B19">
        <f>IF(((1-D_limit_nom)/Constants!B12)&lt;Fsw,2,1)</f>
        <v>1</v>
      </c>
      <c r="D19" t="s">
        <v>72</v>
      </c>
    </row>
    <row r="20" spans="1:4" x14ac:dyDescent="0.2">
      <c r="A20" t="s">
        <v>78</v>
      </c>
      <c r="B20" s="1">
        <f>CHOOSE(B19,D_limit_nom,(1-Constants!B12*Fsw))</f>
        <v>0.93</v>
      </c>
      <c r="D20" t="s">
        <v>79</v>
      </c>
    </row>
    <row r="22" spans="1:4" x14ac:dyDescent="0.2">
      <c r="A22" t="s">
        <v>88</v>
      </c>
      <c r="B22" s="12">
        <f>50*10^-9</f>
        <v>5.0000000000000004E-8</v>
      </c>
      <c r="C22" t="s">
        <v>54</v>
      </c>
      <c r="D22" t="s">
        <v>89</v>
      </c>
    </row>
    <row r="23" spans="1:4" x14ac:dyDescent="0.2">
      <c r="B23" s="12"/>
    </row>
    <row r="24" spans="1:4" ht="16" x14ac:dyDescent="0.2">
      <c r="A24" s="29" t="s">
        <v>171</v>
      </c>
    </row>
    <row r="25" spans="1:4" x14ac:dyDescent="0.2">
      <c r="A25" t="s">
        <v>144</v>
      </c>
      <c r="B25" s="12">
        <f>30*10^-6</f>
        <v>2.9999999999999997E-5</v>
      </c>
      <c r="C25" t="s">
        <v>11</v>
      </c>
      <c r="D25" t="s">
        <v>145</v>
      </c>
    </row>
    <row r="26" spans="1:4" x14ac:dyDescent="0.2">
      <c r="A26" t="s">
        <v>146</v>
      </c>
      <c r="B26" s="12">
        <v>1333</v>
      </c>
      <c r="C26" s="2" t="s">
        <v>36</v>
      </c>
      <c r="D26" t="s">
        <v>147</v>
      </c>
    </row>
    <row r="27" spans="1:4" x14ac:dyDescent="0.2">
      <c r="A27" t="s">
        <v>150</v>
      </c>
      <c r="B27" s="12">
        <f>0.1</f>
        <v>0.1</v>
      </c>
      <c r="C27" s="2" t="s">
        <v>10</v>
      </c>
      <c r="D27" t="s">
        <v>151</v>
      </c>
    </row>
    <row r="28" spans="1:4" x14ac:dyDescent="0.2">
      <c r="A28" t="s">
        <v>520</v>
      </c>
      <c r="B28" s="12">
        <v>2000</v>
      </c>
      <c r="C28" s="2" t="s">
        <v>36</v>
      </c>
      <c r="D28" t="s">
        <v>521</v>
      </c>
    </row>
    <row r="29" spans="1:4" x14ac:dyDescent="0.2">
      <c r="A29" t="s">
        <v>236</v>
      </c>
      <c r="B29" s="12">
        <f>0.145</f>
        <v>0.14499999999999999</v>
      </c>
      <c r="C29" t="s">
        <v>180</v>
      </c>
      <c r="D29" t="s">
        <v>238</v>
      </c>
    </row>
    <row r="30" spans="1:4" x14ac:dyDescent="0.2">
      <c r="A30" t="s">
        <v>240</v>
      </c>
      <c r="B30" s="12">
        <v>1</v>
      </c>
      <c r="C30" t="s">
        <v>180</v>
      </c>
      <c r="D30" t="s">
        <v>241</v>
      </c>
    </row>
    <row r="32" spans="1:4" x14ac:dyDescent="0.2">
      <c r="A32" s="33" t="s">
        <v>261</v>
      </c>
    </row>
    <row r="33" spans="1:4" x14ac:dyDescent="0.2">
      <c r="A33" t="s">
        <v>282</v>
      </c>
      <c r="B33">
        <v>1</v>
      </c>
      <c r="C33" t="s">
        <v>10</v>
      </c>
      <c r="D33" t="s">
        <v>283</v>
      </c>
    </row>
    <row r="34" spans="1:4" x14ac:dyDescent="0.2">
      <c r="A34" t="s">
        <v>265</v>
      </c>
      <c r="B34">
        <f>(2*10^-3)/1</f>
        <v>2E-3</v>
      </c>
      <c r="C34" t="s">
        <v>267</v>
      </c>
      <c r="D34" t="s">
        <v>266</v>
      </c>
    </row>
    <row r="36" spans="1:4" x14ac:dyDescent="0.2">
      <c r="A36" s="33" t="s">
        <v>334</v>
      </c>
    </row>
    <row r="37" spans="1:4" x14ac:dyDescent="0.2">
      <c r="A37" t="s">
        <v>335</v>
      </c>
      <c r="B37">
        <f>10*10^-6</f>
        <v>9.9999999999999991E-6</v>
      </c>
      <c r="C37" t="s">
        <v>11</v>
      </c>
      <c r="D37" t="s">
        <v>336</v>
      </c>
    </row>
    <row r="39" spans="1:4" x14ac:dyDescent="0.2">
      <c r="A39" s="33" t="s">
        <v>355</v>
      </c>
    </row>
    <row r="40" spans="1:4" x14ac:dyDescent="0.2">
      <c r="A40" t="s">
        <v>356</v>
      </c>
      <c r="B40">
        <v>1.5</v>
      </c>
      <c r="C40" t="s">
        <v>10</v>
      </c>
      <c r="D40" t="s">
        <v>359</v>
      </c>
    </row>
    <row r="41" spans="1:4" x14ac:dyDescent="0.2">
      <c r="A41" t="s">
        <v>357</v>
      </c>
      <c r="B41">
        <v>1.45</v>
      </c>
      <c r="C41" t="s">
        <v>10</v>
      </c>
      <c r="D41" t="s">
        <v>358</v>
      </c>
    </row>
    <row r="42" spans="1:4" x14ac:dyDescent="0.2">
      <c r="A42" t="s">
        <v>362</v>
      </c>
      <c r="B42">
        <f>5*10^-6</f>
        <v>4.9999999999999996E-6</v>
      </c>
      <c r="C42" t="s">
        <v>11</v>
      </c>
      <c r="D42" t="s">
        <v>363</v>
      </c>
    </row>
    <row r="44" spans="1:4" x14ac:dyDescent="0.2">
      <c r="A44" s="33" t="s">
        <v>420</v>
      </c>
    </row>
    <row r="45" spans="1:4" x14ac:dyDescent="0.2">
      <c r="A45" t="s">
        <v>421</v>
      </c>
      <c r="B45">
        <v>6.75</v>
      </c>
      <c r="C45" t="s">
        <v>10</v>
      </c>
      <c r="D45" t="s">
        <v>422</v>
      </c>
    </row>
    <row r="47" spans="1:4" x14ac:dyDescent="0.2">
      <c r="A47" s="33" t="s">
        <v>439</v>
      </c>
    </row>
    <row r="48" spans="1:4" x14ac:dyDescent="0.2">
      <c r="A48" t="s">
        <v>440</v>
      </c>
      <c r="B48">
        <f>450*(10^-6)</f>
        <v>4.4999999999999999E-4</v>
      </c>
      <c r="C48" t="s">
        <v>11</v>
      </c>
      <c r="D48" t="s">
        <v>441</v>
      </c>
    </row>
    <row r="50" spans="1:4" x14ac:dyDescent="0.2">
      <c r="A50" t="s">
        <v>481</v>
      </c>
    </row>
    <row r="51" spans="1:4" x14ac:dyDescent="0.2">
      <c r="A51" t="s">
        <v>482</v>
      </c>
      <c r="B51">
        <v>1.5</v>
      </c>
      <c r="C51" t="s">
        <v>10</v>
      </c>
      <c r="D51" t="s">
        <v>483</v>
      </c>
    </row>
    <row r="52" spans="1:4" x14ac:dyDescent="0.2">
      <c r="A52" t="s">
        <v>485</v>
      </c>
      <c r="B52">
        <v>45</v>
      </c>
      <c r="C52" t="s">
        <v>10</v>
      </c>
      <c r="D52" t="s">
        <v>484</v>
      </c>
    </row>
    <row r="53" spans="1:4" x14ac:dyDescent="0.2">
      <c r="A53" t="s">
        <v>580</v>
      </c>
      <c r="B53">
        <v>60</v>
      </c>
      <c r="C53" t="s">
        <v>10</v>
      </c>
      <c r="D53" t="s">
        <v>581</v>
      </c>
    </row>
  </sheetData>
  <mergeCells count="2">
    <mergeCell ref="A1:I1"/>
    <mergeCell ref="E5:H5"/>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B3"/>
  <sheetViews>
    <sheetView topLeftCell="B1" zoomScale="70" zoomScaleNormal="70" workbookViewId="0">
      <selection activeCell="E3" sqref="E3"/>
    </sheetView>
  </sheetViews>
  <sheetFormatPr baseColWidth="10" defaultColWidth="8.83203125" defaultRowHeight="15" x14ac:dyDescent="0.2"/>
  <cols>
    <col min="3" max="3" width="144.6640625" customWidth="1"/>
  </cols>
  <sheetData>
    <row r="2" spans="2:2" x14ac:dyDescent="0.2">
      <c r="B2" t="str">
        <f>"Eff_vs_IOUT"</f>
        <v>Eff_vs_IOUT</v>
      </c>
    </row>
    <row r="3" spans="2:2" ht="380" customHeight="1"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4"/>
  <sheetViews>
    <sheetView workbookViewId="0">
      <selection activeCell="A2" sqref="A2"/>
    </sheetView>
  </sheetViews>
  <sheetFormatPr baseColWidth="10" defaultColWidth="8.83203125" defaultRowHeight="15" x14ac:dyDescent="0.2"/>
  <cols>
    <col min="2" max="2" width="76.1640625" customWidth="1"/>
  </cols>
  <sheetData>
    <row r="1" spans="1:1" x14ac:dyDescent="0.2">
      <c r="A1" t="str">
        <f>IF('Design Converter'!H7&gt;=3,"SCH_1","SCH_2")</f>
        <v>SCH_1</v>
      </c>
    </row>
    <row r="2" spans="1:1" ht="267.5" customHeight="1" x14ac:dyDescent="0.2"/>
    <row r="4" spans="1:1" ht="267.5" customHeight="1" x14ac:dyDescent="0.2"/>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2:D11"/>
  <sheetViews>
    <sheetView workbookViewId="0">
      <selection activeCell="D20" sqref="D20"/>
    </sheetView>
  </sheetViews>
  <sheetFormatPr baseColWidth="10" defaultColWidth="8.83203125" defaultRowHeight="15" x14ac:dyDescent="0.2"/>
  <sheetData>
    <row r="2" spans="1:4" x14ac:dyDescent="0.2">
      <c r="A2" t="s">
        <v>458</v>
      </c>
    </row>
    <row r="3" spans="1:4" x14ac:dyDescent="0.2">
      <c r="B3" s="47">
        <f>VIN_min</f>
        <v>4.8</v>
      </c>
    </row>
    <row r="4" spans="1:4" x14ac:dyDescent="0.2">
      <c r="B4" s="221">
        <f>VIN_nom</f>
        <v>5</v>
      </c>
      <c r="D4">
        <v>2.5</v>
      </c>
    </row>
    <row r="5" spans="1:4" x14ac:dyDescent="0.2">
      <c r="B5" s="222">
        <f>VIN_max</f>
        <v>5.5</v>
      </c>
    </row>
    <row r="8" spans="1:4" x14ac:dyDescent="0.2">
      <c r="A8" t="s">
        <v>552</v>
      </c>
    </row>
    <row r="9" spans="1:4" x14ac:dyDescent="0.2">
      <c r="B9" s="47" t="s">
        <v>495</v>
      </c>
    </row>
    <row r="10" spans="1:4" x14ac:dyDescent="0.2">
      <c r="B10" s="221" t="s">
        <v>496</v>
      </c>
    </row>
    <row r="11" spans="1:4" x14ac:dyDescent="0.2">
      <c r="B11" s="222"/>
    </row>
  </sheetData>
  <dataValidations count="3">
    <dataValidation type="list" allowBlank="1" showInputMessage="1" showErrorMessage="1" sqref="D4" xr:uid="{00000000-0002-0000-0700-000000000000}">
      <formula1>$B$3:$B$5</formula1>
    </dataValidation>
    <dataValidation type="decimal" allowBlank="1" showInputMessage="1" showErrorMessage="1" sqref="F4" xr:uid="{00000000-0002-0000-0700-000001000000}">
      <formula1>B3</formula1>
      <formula2>B5</formula2>
    </dataValidation>
    <dataValidation type="list" showDropDown="1" showInputMessage="1" showErrorMessage="1" sqref="I15" xr:uid="{00000000-0002-0000-0700-000002000000}">
      <formula1>$B$3:$B$5</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DCCB-1154-4E1B-AC0A-91A88D9D073F}">
  <sheetPr codeName="Sheet9"/>
  <dimension ref="A1:AM47"/>
  <sheetViews>
    <sheetView showGridLines="0" showRowColHeaders="0" zoomScaleNormal="100" workbookViewId="0">
      <selection activeCell="B5" sqref="B5"/>
    </sheetView>
  </sheetViews>
  <sheetFormatPr baseColWidth="10" defaultColWidth="9.1640625" defaultRowHeight="14" x14ac:dyDescent="0.15"/>
  <cols>
    <col min="1" max="1" width="25.6640625" style="150" bestFit="1" customWidth="1"/>
    <col min="2" max="2" width="56.5" style="151" customWidth="1"/>
    <col min="3" max="11" width="9.1640625" style="144"/>
    <col min="12" max="12" width="20.5" style="144" customWidth="1"/>
    <col min="13" max="16384" width="9.1640625" style="144"/>
  </cols>
  <sheetData>
    <row r="1" spans="1:12" x14ac:dyDescent="0.15">
      <c r="A1" s="247"/>
      <c r="B1" s="247"/>
      <c r="C1" s="247"/>
      <c r="D1" s="247"/>
      <c r="E1" s="247"/>
      <c r="F1" s="247"/>
      <c r="G1" s="247"/>
      <c r="H1" s="247"/>
      <c r="I1" s="247"/>
      <c r="J1" s="247"/>
      <c r="K1" s="247"/>
      <c r="L1" s="247"/>
    </row>
    <row r="2" spans="1:12" x14ac:dyDescent="0.15">
      <c r="A2" s="247"/>
      <c r="B2" s="247"/>
      <c r="C2" s="247"/>
      <c r="D2" s="247"/>
      <c r="E2" s="247"/>
      <c r="F2" s="247"/>
      <c r="G2" s="247"/>
      <c r="H2" s="247"/>
      <c r="I2" s="247"/>
      <c r="J2" s="247"/>
      <c r="K2" s="247"/>
      <c r="L2" s="247"/>
    </row>
    <row r="3" spans="1:12" x14ac:dyDescent="0.15">
      <c r="A3" s="247"/>
      <c r="B3" s="247"/>
      <c r="C3" s="247"/>
      <c r="D3" s="247"/>
      <c r="E3" s="247"/>
      <c r="F3" s="247"/>
      <c r="G3" s="247"/>
      <c r="H3" s="247"/>
      <c r="I3" s="247"/>
      <c r="J3" s="247"/>
      <c r="K3" s="247"/>
      <c r="L3" s="247"/>
    </row>
    <row r="4" spans="1:12" ht="12.75" customHeight="1" x14ac:dyDescent="0.15">
      <c r="A4" s="248"/>
      <c r="B4" s="248"/>
      <c r="C4" s="248"/>
      <c r="D4" s="248"/>
      <c r="E4" s="248"/>
      <c r="F4" s="248"/>
      <c r="G4" s="248"/>
      <c r="H4" s="248"/>
      <c r="I4" s="248"/>
      <c r="J4" s="248"/>
      <c r="K4" s="248"/>
      <c r="L4" s="248"/>
    </row>
    <row r="5" spans="1:12" x14ac:dyDescent="0.15">
      <c r="A5" s="145" t="s">
        <v>523</v>
      </c>
      <c r="B5" s="157" t="s">
        <v>575</v>
      </c>
      <c r="C5" s="147"/>
      <c r="D5" s="147"/>
      <c r="E5" s="147"/>
      <c r="F5" s="147"/>
      <c r="G5" s="147"/>
      <c r="H5" s="147"/>
      <c r="I5" s="147"/>
      <c r="J5" s="147"/>
      <c r="K5" s="148"/>
      <c r="L5" s="149"/>
    </row>
    <row r="6" spans="1:12" x14ac:dyDescent="0.15">
      <c r="A6" s="145"/>
      <c r="B6" s="146"/>
      <c r="C6" s="147"/>
      <c r="D6" s="147"/>
      <c r="E6" s="147"/>
      <c r="F6" s="147"/>
      <c r="G6" s="147"/>
      <c r="H6" s="147"/>
      <c r="I6" s="147"/>
      <c r="J6" s="149"/>
      <c r="K6" s="149"/>
      <c r="L6" s="149"/>
    </row>
    <row r="35" spans="1:39" x14ac:dyDescent="0.15">
      <c r="A35" s="152" t="s">
        <v>525</v>
      </c>
      <c r="B35" s="153"/>
      <c r="C35" s="147"/>
      <c r="D35" s="147"/>
      <c r="E35" s="147"/>
      <c r="F35" s="147"/>
      <c r="G35" s="147"/>
      <c r="H35" s="147"/>
      <c r="I35" s="147"/>
      <c r="J35" s="147"/>
      <c r="K35" s="147"/>
    </row>
    <row r="36" spans="1:39" x14ac:dyDescent="0.15">
      <c r="A36" s="154" t="s">
        <v>526</v>
      </c>
      <c r="B36" s="249" t="s">
        <v>527</v>
      </c>
      <c r="C36" s="249"/>
      <c r="D36" s="249"/>
      <c r="E36" s="249"/>
      <c r="F36" s="249"/>
      <c r="G36" s="249"/>
      <c r="H36" s="249"/>
      <c r="I36" s="249"/>
      <c r="J36" s="249"/>
      <c r="K36" s="249"/>
    </row>
    <row r="37" spans="1:39" x14ac:dyDescent="0.15">
      <c r="A37" s="152" t="s">
        <v>524</v>
      </c>
      <c r="B37" s="250" t="s">
        <v>528</v>
      </c>
      <c r="C37" s="250"/>
      <c r="D37" s="250"/>
      <c r="E37" s="250"/>
      <c r="F37" s="250"/>
      <c r="G37" s="250"/>
      <c r="H37" s="250"/>
      <c r="I37" s="250"/>
      <c r="J37" s="250"/>
      <c r="K37" s="250"/>
    </row>
    <row r="38" spans="1:39" ht="14.25" customHeight="1" x14ac:dyDescent="0.15">
      <c r="A38" s="156" t="s">
        <v>531</v>
      </c>
      <c r="B38" s="251" t="s">
        <v>532</v>
      </c>
      <c r="C38" s="251"/>
      <c r="D38" s="251"/>
      <c r="E38" s="251"/>
      <c r="F38" s="251"/>
      <c r="G38" s="251"/>
      <c r="H38" s="251"/>
      <c r="I38" s="251"/>
      <c r="J38" s="251"/>
      <c r="K38" s="251"/>
    </row>
    <row r="39" spans="1:39" ht="14.25" customHeight="1" x14ac:dyDescent="0.15">
      <c r="A39" s="156" t="s">
        <v>575</v>
      </c>
      <c r="B39" s="226" t="s">
        <v>576</v>
      </c>
      <c r="C39" s="226"/>
      <c r="D39" s="226"/>
      <c r="E39" s="226"/>
      <c r="F39" s="226"/>
      <c r="G39" s="226"/>
      <c r="H39" s="226"/>
      <c r="I39" s="226"/>
      <c r="J39" s="226"/>
      <c r="K39" s="226"/>
    </row>
    <row r="40" spans="1:39" ht="14.25" customHeight="1" x14ac:dyDescent="0.15">
      <c r="A40" s="156"/>
      <c r="B40" s="226"/>
      <c r="C40" s="226"/>
      <c r="D40" s="226"/>
      <c r="E40" s="226"/>
      <c r="F40" s="226"/>
      <c r="G40" s="226"/>
      <c r="H40" s="226"/>
      <c r="I40" s="226"/>
      <c r="J40" s="226"/>
      <c r="K40" s="226"/>
    </row>
    <row r="41" spans="1:39" ht="14.25" customHeight="1" x14ac:dyDescent="0.15">
      <c r="A41" s="156"/>
      <c r="B41" s="226"/>
      <c r="C41" s="226"/>
      <c r="D41" s="226"/>
      <c r="E41" s="226"/>
      <c r="F41" s="226"/>
      <c r="G41" s="226"/>
      <c r="H41" s="226"/>
      <c r="I41" s="226"/>
      <c r="J41" s="226"/>
      <c r="K41" s="226"/>
    </row>
    <row r="42" spans="1:39" x14ac:dyDescent="0.15">
      <c r="A42" s="156"/>
      <c r="B42" s="226"/>
      <c r="C42" s="226"/>
      <c r="D42" s="226"/>
      <c r="E42" s="226"/>
      <c r="F42" s="226"/>
      <c r="G42" s="226"/>
      <c r="H42" s="226"/>
      <c r="I42" s="226"/>
      <c r="J42" s="226"/>
      <c r="K42" s="226"/>
    </row>
    <row r="43" spans="1:39" x14ac:dyDescent="0.15">
      <c r="A43" s="156"/>
      <c r="B43" s="226"/>
      <c r="C43" s="226"/>
      <c r="D43" s="226"/>
      <c r="E43" s="226"/>
      <c r="F43" s="226"/>
      <c r="G43" s="226"/>
      <c r="H43" s="226"/>
      <c r="I43" s="226"/>
      <c r="J43" s="226"/>
      <c r="K43" s="226"/>
    </row>
    <row r="44" spans="1:39" x14ac:dyDescent="0.15">
      <c r="A44" s="156"/>
      <c r="B44" s="226"/>
      <c r="C44" s="226"/>
      <c r="D44" s="226"/>
      <c r="E44" s="226"/>
      <c r="F44" s="226"/>
      <c r="G44" s="226"/>
      <c r="H44" s="226"/>
      <c r="I44" s="226"/>
      <c r="J44" s="226"/>
      <c r="K44" s="226"/>
      <c r="L44" s="155"/>
      <c r="M44" s="155"/>
      <c r="N44" s="155"/>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row>
    <row r="45" spans="1:39" x14ac:dyDescent="0.15">
      <c r="A45" s="156"/>
      <c r="B45" s="226"/>
      <c r="C45" s="226"/>
      <c r="D45" s="226"/>
      <c r="E45" s="226"/>
      <c r="F45" s="226"/>
      <c r="G45" s="226"/>
      <c r="H45" s="226"/>
      <c r="I45" s="226"/>
      <c r="J45" s="226"/>
      <c r="K45" s="226"/>
    </row>
    <row r="46" spans="1:39" x14ac:dyDescent="0.15">
      <c r="A46" s="156"/>
      <c r="B46" s="226"/>
      <c r="C46" s="226"/>
      <c r="D46" s="226"/>
      <c r="E46" s="226"/>
      <c r="F46" s="226"/>
      <c r="G46" s="226"/>
      <c r="H46" s="226"/>
      <c r="I46" s="226"/>
      <c r="J46" s="226"/>
      <c r="K46" s="226"/>
    </row>
    <row r="47" spans="1:39" x14ac:dyDescent="0.15">
      <c r="A47" s="156"/>
      <c r="B47" s="226"/>
    </row>
  </sheetData>
  <sheetProtection algorithmName="SHA-512" hashValue="w01gbvbP5UAcO48uUSPEcM42DLQN7csQvCqJuiQNlT2ekF2fq5jE6wMXzUF2sGQQxMvVP9g7SkV1wWRVLYe5KQ==" saltValue="LTIZtgTeeFd21Qi1VHycQA==" spinCount="100000" sheet="1" objects="1" scenarios="1" selectLockedCells="1" selectUnlockedCells="1"/>
  <mergeCells count="5">
    <mergeCell ref="A1:L3"/>
    <mergeCell ref="A4:L4"/>
    <mergeCell ref="B36:K36"/>
    <mergeCell ref="B37:K37"/>
    <mergeCell ref="B38:K3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
  <sheetViews>
    <sheetView workbookViewId="0">
      <selection activeCell="C31" sqref="C31"/>
    </sheetView>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131</vt:i4>
      </vt:variant>
    </vt:vector>
  </HeadingPairs>
  <TitlesOfParts>
    <vt:vector size="141" baseType="lpstr">
      <vt:lpstr>Design Converter</vt:lpstr>
      <vt:lpstr>Variable_Management</vt:lpstr>
      <vt:lpstr>Eff_vs_IOUT</vt:lpstr>
      <vt:lpstr>Loop_Modeling</vt:lpstr>
      <vt:lpstr>Constants</vt:lpstr>
      <vt:lpstr>Plot_Management_Eff</vt:lpstr>
      <vt:lpstr>Plot_Management_Sch</vt:lpstr>
      <vt:lpstr>Lists</vt:lpstr>
      <vt:lpstr>Licenses</vt:lpstr>
      <vt:lpstr>Sheet1</vt:lpstr>
      <vt:lpstr>Acs</vt:lpstr>
      <vt:lpstr>Adc</vt:lpstr>
      <vt:lpstr>Adc_ea</vt:lpstr>
      <vt:lpstr>ADC_VINmin</vt:lpstr>
      <vt:lpstr>CCOMP</vt:lpstr>
      <vt:lpstr>CComp_calc</vt:lpstr>
      <vt:lpstr>CHF</vt:lpstr>
      <vt:lpstr>Comp_calc</vt:lpstr>
      <vt:lpstr>Cout</vt:lpstr>
      <vt:lpstr>Cout_min</vt:lpstr>
      <vt:lpstr>D_limit_max</vt:lpstr>
      <vt:lpstr>D_limit_min</vt:lpstr>
      <vt:lpstr>D_limit_nom</vt:lpstr>
      <vt:lpstr>Dc_CCM_VIN_max</vt:lpstr>
      <vt:lpstr>Dc_CCM_VIN_min</vt:lpstr>
      <vt:lpstr>Dc_CCM_VIN_nom</vt:lpstr>
      <vt:lpstr>Dc_DCM_VIN_nom</vt:lpstr>
      <vt:lpstr>Dc_max_IC</vt:lpstr>
      <vt:lpstr>Dc_max_ideal</vt:lpstr>
      <vt:lpstr>Dc_Mode</vt:lpstr>
      <vt:lpstr>Dc_Mode_Loop</vt:lpstr>
      <vt:lpstr>Dc_rip_max</vt:lpstr>
      <vt:lpstr>Dc_VIN_max</vt:lpstr>
      <vt:lpstr>Dc_VIN_min</vt:lpstr>
      <vt:lpstr>Dc_VIN_nom</vt:lpstr>
      <vt:lpstr>EFF_est</vt:lpstr>
      <vt:lpstr>Eff_vs_IOUT</vt:lpstr>
      <vt:lpstr>fcross</vt:lpstr>
      <vt:lpstr>fcross_est</vt:lpstr>
      <vt:lpstr>fp_ea_est</vt:lpstr>
      <vt:lpstr>Fsw</vt:lpstr>
      <vt:lpstr>fz_ea_est</vt:lpstr>
      <vt:lpstr>fz_rhp</vt:lpstr>
      <vt:lpstr>Gcomp</vt:lpstr>
      <vt:lpstr>Gea_mid_calc</vt:lpstr>
      <vt:lpstr>gfs</vt:lpstr>
      <vt:lpstr>gm_ea</vt:lpstr>
      <vt:lpstr>Gplant_fc_dB</vt:lpstr>
      <vt:lpstr>IIN_33</vt:lpstr>
      <vt:lpstr>IL_avg_VIN_max</vt:lpstr>
      <vt:lpstr>IL_avg_VIN_min</vt:lpstr>
      <vt:lpstr>IL_avg_VIN_nom</vt:lpstr>
      <vt:lpstr>IL_pk</vt:lpstr>
      <vt:lpstr>IL_pk_max</vt:lpstr>
      <vt:lpstr>ILp_VINmax</vt:lpstr>
      <vt:lpstr>ILp_VINmin</vt:lpstr>
      <vt:lpstr>ILp_VINnom</vt:lpstr>
      <vt:lpstr>ILrip</vt:lpstr>
      <vt:lpstr>ILrip_VINmax</vt:lpstr>
      <vt:lpstr>ILrip_VINmin</vt:lpstr>
      <vt:lpstr>ILrip_VINnom</vt:lpstr>
      <vt:lpstr>IOUT</vt:lpstr>
      <vt:lpstr>Ipk_margin</vt:lpstr>
      <vt:lpstr>Ipk_selected</vt:lpstr>
      <vt:lpstr>IQ</vt:lpstr>
      <vt:lpstr>IRMS_COUT</vt:lpstr>
      <vt:lpstr>Isl</vt:lpstr>
      <vt:lpstr>Iss</vt:lpstr>
      <vt:lpstr>Kslope</vt:lpstr>
      <vt:lpstr>L_DCM</vt:lpstr>
      <vt:lpstr>Lm</vt:lpstr>
      <vt:lpstr>Lopt</vt:lpstr>
      <vt:lpstr>Lopt_2</vt:lpstr>
      <vt:lpstr>POUT</vt:lpstr>
      <vt:lpstr>'Design Converter'!Print_Area</vt:lpstr>
      <vt:lpstr>Q</vt:lpstr>
      <vt:lpstr>Q_VINmin</vt:lpstr>
      <vt:lpstr>Qg_tot</vt:lpstr>
      <vt:lpstr>Qgd</vt:lpstr>
      <vt:lpstr>Qgs</vt:lpstr>
      <vt:lpstr>Qrr</vt:lpstr>
      <vt:lpstr>R_cs</vt:lpstr>
      <vt:lpstr>R_sl</vt:lpstr>
      <vt:lpstr>RCOMP</vt:lpstr>
      <vt:lpstr>Rcomp_calc</vt:lpstr>
      <vt:lpstr>Rcs_max</vt:lpstr>
      <vt:lpstr>Rcs_w_sl</vt:lpstr>
      <vt:lpstr>Rcs_wo_sl</vt:lpstr>
      <vt:lpstr>Rdcr</vt:lpstr>
      <vt:lpstr>RDS_on</vt:lpstr>
      <vt:lpstr>Resr</vt:lpstr>
      <vt:lpstr>RFBB</vt:lpstr>
      <vt:lpstr>RFBB_calc</vt:lpstr>
      <vt:lpstr>RFBT</vt:lpstr>
      <vt:lpstr>Rgate</vt:lpstr>
      <vt:lpstr>ROUT</vt:lpstr>
      <vt:lpstr>Rsl_int</vt:lpstr>
      <vt:lpstr>Rsl_max</vt:lpstr>
      <vt:lpstr>RT</vt:lpstr>
      <vt:lpstr>Ruvlo_bottom_calc</vt:lpstr>
      <vt:lpstr>Ruvlo_top</vt:lpstr>
      <vt:lpstr>Ruvlo_top_calc</vt:lpstr>
      <vt:lpstr>SCH_1</vt:lpstr>
      <vt:lpstr>SCH_2</vt:lpstr>
      <vt:lpstr>Se_VINmin</vt:lpstr>
      <vt:lpstr>Sn_VINmin</vt:lpstr>
      <vt:lpstr>tf_sw</vt:lpstr>
      <vt:lpstr>tr_sw</vt:lpstr>
      <vt:lpstr>tss</vt:lpstr>
      <vt:lpstr>UV_fall</vt:lpstr>
      <vt:lpstr>UV_I_hyst</vt:lpstr>
      <vt:lpstr>UV_rise</vt:lpstr>
      <vt:lpstr>Vcc</vt:lpstr>
      <vt:lpstr>Vcl</vt:lpstr>
      <vt:lpstr>Vd_rect</vt:lpstr>
      <vt:lpstr>VIN_33</vt:lpstr>
      <vt:lpstr>VIN_max</vt:lpstr>
      <vt:lpstr>VIN_min</vt:lpstr>
      <vt:lpstr>VIN_nom</vt:lpstr>
      <vt:lpstr>VIN_op_max</vt:lpstr>
      <vt:lpstr>VIN_op_max_56</vt:lpstr>
      <vt:lpstr>VIN_op_min</vt:lpstr>
      <vt:lpstr>VIN_var</vt:lpstr>
      <vt:lpstr>VOUT</vt:lpstr>
      <vt:lpstr>Vout_rip_sel</vt:lpstr>
      <vt:lpstr>Vref</vt:lpstr>
      <vt:lpstr>Vth</vt:lpstr>
      <vt:lpstr>Vuvlo_off</vt:lpstr>
      <vt:lpstr>Vuvlo_on</vt:lpstr>
      <vt:lpstr>wp_hf</vt:lpstr>
      <vt:lpstr>wp_lf</vt:lpstr>
      <vt:lpstr>wp_lf_VINmin</vt:lpstr>
      <vt:lpstr>wp0_ea</vt:lpstr>
      <vt:lpstr>wp1_ea</vt:lpstr>
      <vt:lpstr>wsl</vt:lpstr>
      <vt:lpstr>wsl_VINmin</vt:lpstr>
      <vt:lpstr>wz_ea</vt:lpstr>
      <vt:lpstr>wz_esr</vt:lpstr>
      <vt:lpstr>wz_esr_VINmin</vt:lpstr>
      <vt:lpstr>wz_rhp</vt:lpstr>
      <vt:lpstr>wz_RHP_VINmin</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BMC-BCS</dc:creator>
  <cp:lastModifiedBy>Chun-Lin Chen</cp:lastModifiedBy>
  <cp:lastPrinted>2018-08-09T07:13:51Z</cp:lastPrinted>
  <dcterms:created xsi:type="dcterms:W3CDTF">2018-06-26T09:13:29Z</dcterms:created>
  <dcterms:modified xsi:type="dcterms:W3CDTF">2025-12-21T02:11:49Z</dcterms:modified>
</cp:coreProperties>
</file>